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760" yWindow="3855" windowWidth="20730" windowHeight="11385"/>
  </bookViews>
  <sheets>
    <sheet name="2023" sheetId="1" r:id="rId1"/>
  </sheets>
  <definedNames>
    <definedName name="_xlnm._FilterDatabase" localSheetId="0" hidden="1">'2023'!$A$6:$P$482</definedName>
  </definedNames>
  <calcPr calcId="125725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B37"/>
  <c r="D37"/>
  <c r="B38"/>
  <c r="D38"/>
  <c r="B39"/>
  <c r="D39"/>
  <c r="B40"/>
  <c r="D40"/>
  <c r="B41"/>
  <c r="D4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B54"/>
  <c r="D54"/>
  <c r="B55"/>
  <c r="D55"/>
  <c r="B56"/>
  <c r="D56"/>
  <c r="B57"/>
  <c r="D57"/>
  <c r="B58"/>
  <c r="D58"/>
  <c r="B59"/>
  <c r="D59"/>
  <c r="B60"/>
  <c r="D60"/>
  <c r="B61"/>
  <c r="D61"/>
  <c r="B62"/>
  <c r="D62"/>
  <c r="B63"/>
  <c r="D63"/>
  <c r="B64"/>
  <c r="D64"/>
  <c r="B65"/>
  <c r="D65"/>
  <c r="B66"/>
  <c r="D66"/>
  <c r="B67"/>
  <c r="D67"/>
  <c r="B68"/>
  <c r="D68"/>
  <c r="B69"/>
  <c r="D69"/>
  <c r="B70"/>
  <c r="D70"/>
  <c r="B71"/>
  <c r="D71"/>
  <c r="B72"/>
  <c r="D72"/>
  <c r="B73"/>
  <c r="D73"/>
  <c r="B74"/>
  <c r="D74"/>
  <c r="B75"/>
  <c r="D75"/>
  <c r="B76"/>
  <c r="D76"/>
  <c r="B77"/>
  <c r="D77"/>
  <c r="B78"/>
  <c r="D78"/>
  <c r="B79"/>
  <c r="D79"/>
  <c r="B80"/>
  <c r="D80"/>
  <c r="B81"/>
  <c r="D81"/>
  <c r="B82"/>
  <c r="D82"/>
  <c r="B83"/>
  <c r="D83"/>
  <c r="B84"/>
  <c r="D84"/>
  <c r="B85"/>
  <c r="D85"/>
  <c r="B86"/>
  <c r="D86"/>
  <c r="B87"/>
  <c r="D87"/>
  <c r="B88"/>
  <c r="D88"/>
  <c r="B89"/>
  <c r="D89"/>
  <c r="B90"/>
  <c r="D90"/>
  <c r="B91"/>
  <c r="D91"/>
  <c r="B92"/>
  <c r="D92"/>
  <c r="B93"/>
  <c r="D93"/>
  <c r="B94"/>
  <c r="D94"/>
  <c r="B95"/>
  <c r="D95"/>
  <c r="B96"/>
  <c r="D96"/>
  <c r="B97"/>
  <c r="D97"/>
  <c r="B98"/>
  <c r="D98"/>
  <c r="B99"/>
  <c r="D99"/>
  <c r="B100"/>
  <c r="D100"/>
  <c r="B101"/>
  <c r="D101"/>
  <c r="B102"/>
  <c r="D102"/>
  <c r="B103"/>
  <c r="D103"/>
  <c r="B104"/>
  <c r="D104"/>
  <c r="B105"/>
  <c r="D105"/>
  <c r="B106"/>
  <c r="D106"/>
  <c r="B107"/>
  <c r="D107"/>
  <c r="B108"/>
  <c r="D108"/>
  <c r="B109"/>
  <c r="D109"/>
  <c r="B110"/>
  <c r="D110"/>
  <c r="B111"/>
  <c r="D111"/>
  <c r="B112"/>
  <c r="D112"/>
  <c r="B113"/>
  <c r="D113"/>
  <c r="B114"/>
  <c r="D114"/>
  <c r="B115"/>
  <c r="D115"/>
  <c r="B116"/>
  <c r="D116"/>
  <c r="B117"/>
  <c r="D117"/>
  <c r="B118"/>
  <c r="D118"/>
  <c r="B119"/>
  <c r="D119"/>
  <c r="B120"/>
  <c r="D120"/>
  <c r="B121"/>
  <c r="D121"/>
  <c r="B122"/>
  <c r="D122"/>
  <c r="B123"/>
  <c r="D123"/>
  <c r="B124"/>
  <c r="D124"/>
  <c r="B125"/>
  <c r="D125"/>
  <c r="B126"/>
  <c r="D126"/>
  <c r="B127"/>
  <c r="D127"/>
  <c r="B128"/>
  <c r="D128"/>
  <c r="B129"/>
  <c r="D129"/>
  <c r="B130"/>
  <c r="D130"/>
  <c r="B131"/>
  <c r="D131"/>
  <c r="B132"/>
  <c r="D132"/>
  <c r="B133"/>
  <c r="D133"/>
  <c r="B134"/>
  <c r="D134"/>
  <c r="B135"/>
  <c r="D135"/>
  <c r="B136"/>
  <c r="D136"/>
  <c r="B137"/>
  <c r="D137"/>
  <c r="B138"/>
  <c r="D138"/>
  <c r="B139"/>
  <c r="D139"/>
  <c r="B140"/>
  <c r="D140"/>
  <c r="B141"/>
  <c r="D141"/>
  <c r="B142"/>
  <c r="D142"/>
  <c r="B143"/>
  <c r="D143"/>
  <c r="B144"/>
  <c r="D144"/>
  <c r="B145"/>
  <c r="D145"/>
  <c r="B146"/>
  <c r="D146"/>
  <c r="B147"/>
  <c r="D147"/>
  <c r="B148"/>
  <c r="D148"/>
  <c r="B149"/>
  <c r="D149"/>
  <c r="B150"/>
  <c r="D150"/>
  <c r="B151"/>
  <c r="D151"/>
  <c r="B152"/>
  <c r="D152"/>
  <c r="B153"/>
  <c r="D153"/>
  <c r="B154"/>
  <c r="D154"/>
  <c r="B155"/>
  <c r="D155"/>
  <c r="B156"/>
  <c r="D156"/>
  <c r="B157"/>
  <c r="D157"/>
  <c r="B158"/>
  <c r="D158"/>
  <c r="B159"/>
  <c r="D159"/>
  <c r="B160"/>
  <c r="D160"/>
  <c r="B161"/>
  <c r="D161"/>
  <c r="B162"/>
  <c r="D162"/>
  <c r="B163"/>
  <c r="D163"/>
  <c r="B164"/>
  <c r="D164"/>
  <c r="B165"/>
  <c r="D165"/>
  <c r="B166"/>
  <c r="D166"/>
  <c r="B167"/>
  <c r="D167"/>
  <c r="B168"/>
  <c r="D168"/>
  <c r="B169"/>
  <c r="D169"/>
  <c r="B170"/>
  <c r="D170"/>
  <c r="B171"/>
  <c r="D171"/>
  <c r="B172"/>
  <c r="D172"/>
  <c r="B173"/>
  <c r="D173"/>
  <c r="B174"/>
  <c r="D174"/>
  <c r="B175"/>
  <c r="D175"/>
  <c r="B176"/>
  <c r="D176"/>
  <c r="B177"/>
  <c r="D177"/>
  <c r="B178"/>
  <c r="D178"/>
  <c r="B179"/>
  <c r="D179"/>
  <c r="B180"/>
  <c r="D180"/>
  <c r="B181"/>
  <c r="D181"/>
  <c r="B182"/>
  <c r="D182"/>
  <c r="B183"/>
  <c r="D183"/>
  <c r="B184"/>
  <c r="D184"/>
  <c r="B185"/>
  <c r="D185"/>
  <c r="B186"/>
  <c r="D186"/>
  <c r="B187"/>
  <c r="D187"/>
  <c r="B188"/>
  <c r="D188"/>
  <c r="B189"/>
  <c r="D189"/>
  <c r="B190"/>
  <c r="D190"/>
  <c r="B191"/>
  <c r="D191"/>
  <c r="B192"/>
  <c r="D192"/>
  <c r="B193"/>
  <c r="D193"/>
  <c r="B194"/>
  <c r="D194"/>
  <c r="B195"/>
  <c r="D195"/>
  <c r="B196"/>
  <c r="D196"/>
  <c r="B197"/>
  <c r="D197"/>
  <c r="B198"/>
  <c r="D198"/>
  <c r="B199"/>
  <c r="D199"/>
  <c r="B200"/>
  <c r="D200"/>
  <c r="B201"/>
  <c r="D201"/>
  <c r="B202"/>
  <c r="D202"/>
  <c r="B203"/>
  <c r="D203"/>
  <c r="B204"/>
  <c r="D204"/>
  <c r="B205"/>
  <c r="D205"/>
  <c r="B206"/>
  <c r="D206"/>
  <c r="B207"/>
  <c r="D207"/>
  <c r="B208"/>
  <c r="D208"/>
  <c r="B209"/>
  <c r="D209"/>
  <c r="B210"/>
  <c r="D210"/>
  <c r="B211"/>
  <c r="D211"/>
  <c r="B212"/>
  <c r="D212"/>
  <c r="B213"/>
  <c r="D213"/>
  <c r="B214"/>
  <c r="D214"/>
  <c r="B215"/>
  <c r="D215"/>
  <c r="B216"/>
  <c r="D216"/>
  <c r="B217"/>
  <c r="D217"/>
  <c r="B218"/>
  <c r="D218"/>
  <c r="B219"/>
  <c r="D219"/>
  <c r="B220"/>
  <c r="D220"/>
  <c r="B221"/>
  <c r="D221"/>
  <c r="B222"/>
  <c r="D222"/>
  <c r="B223"/>
  <c r="D223"/>
  <c r="B224"/>
  <c r="D224"/>
  <c r="B225"/>
  <c r="D225"/>
  <c r="B226"/>
  <c r="D226"/>
  <c r="B227"/>
  <c r="D227"/>
  <c r="B228"/>
  <c r="D228"/>
  <c r="B229"/>
  <c r="D229"/>
  <c r="B230"/>
  <c r="D230"/>
  <c r="B231"/>
  <c r="D231"/>
  <c r="B232"/>
  <c r="D232"/>
  <c r="B233"/>
  <c r="D233"/>
  <c r="B234"/>
  <c r="D234"/>
  <c r="B235"/>
  <c r="D235"/>
  <c r="B236"/>
  <c r="D236"/>
  <c r="B237"/>
  <c r="D237"/>
  <c r="B238"/>
  <c r="D238"/>
  <c r="B239"/>
  <c r="D239"/>
  <c r="B240"/>
  <c r="D240"/>
  <c r="B241"/>
  <c r="D241"/>
  <c r="B242"/>
  <c r="D242"/>
  <c r="B243"/>
  <c r="D243"/>
  <c r="B244"/>
  <c r="D244"/>
  <c r="B245"/>
  <c r="D245"/>
  <c r="B246"/>
  <c r="D246"/>
  <c r="B247"/>
  <c r="D247"/>
  <c r="B248"/>
  <c r="D248"/>
  <c r="B249"/>
  <c r="D249"/>
  <c r="B250"/>
  <c r="D250"/>
  <c r="B251"/>
  <c r="D251"/>
  <c r="B252"/>
  <c r="D252"/>
  <c r="B253"/>
  <c r="D253"/>
  <c r="B254"/>
  <c r="D254"/>
  <c r="B255"/>
  <c r="D255"/>
  <c r="B256"/>
  <c r="D256"/>
  <c r="B257"/>
  <c r="D257"/>
  <c r="B258"/>
  <c r="D258"/>
  <c r="B259"/>
  <c r="D259"/>
  <c r="B260"/>
  <c r="D260"/>
  <c r="B261"/>
  <c r="D261"/>
  <c r="B262"/>
  <c r="D262"/>
  <c r="B263"/>
  <c r="D263"/>
  <c r="B264"/>
  <c r="D264"/>
  <c r="B265"/>
  <c r="D265"/>
  <c r="B266"/>
  <c r="D266"/>
  <c r="B267"/>
  <c r="D267"/>
  <c r="B268"/>
  <c r="D268"/>
  <c r="B269"/>
  <c r="D269"/>
  <c r="B270"/>
  <c r="D270"/>
  <c r="B271"/>
  <c r="D271"/>
  <c r="B272"/>
  <c r="D272"/>
  <c r="B273"/>
  <c r="D273"/>
  <c r="B274"/>
  <c r="D274"/>
  <c r="B275"/>
  <c r="D275"/>
  <c r="B276"/>
  <c r="D276"/>
  <c r="B277"/>
  <c r="D277"/>
  <c r="B278"/>
  <c r="D278"/>
  <c r="B279"/>
  <c r="D279"/>
  <c r="B280"/>
  <c r="D280"/>
  <c r="B281"/>
  <c r="D281"/>
  <c r="B282"/>
  <c r="D282"/>
  <c r="B283"/>
  <c r="D283"/>
  <c r="B284"/>
  <c r="D284"/>
  <c r="B285"/>
  <c r="D285"/>
  <c r="B286"/>
  <c r="D286"/>
  <c r="B287"/>
  <c r="D287"/>
  <c r="B288"/>
  <c r="D288"/>
  <c r="B289"/>
  <c r="D289"/>
  <c r="B290"/>
  <c r="D290"/>
  <c r="B291"/>
  <c r="D291"/>
  <c r="B292"/>
  <c r="D292"/>
  <c r="B293"/>
  <c r="D293"/>
  <c r="B294"/>
  <c r="D294"/>
  <c r="B295"/>
  <c r="D295"/>
  <c r="B296"/>
  <c r="D296"/>
  <c r="B297"/>
  <c r="D297"/>
  <c r="B298"/>
  <c r="D298"/>
  <c r="B299"/>
  <c r="D299"/>
  <c r="B300"/>
  <c r="D300"/>
  <c r="B301"/>
  <c r="D301"/>
  <c r="B302"/>
  <c r="D302"/>
  <c r="B303"/>
  <c r="D303"/>
  <c r="B304"/>
  <c r="D304"/>
  <c r="B305"/>
  <c r="D305"/>
  <c r="B306"/>
  <c r="D306"/>
  <c r="B307"/>
  <c r="D307"/>
  <c r="B308"/>
  <c r="D308"/>
  <c r="B309"/>
  <c r="D309"/>
  <c r="B310"/>
  <c r="D310"/>
  <c r="B311"/>
  <c r="D311"/>
  <c r="B312"/>
  <c r="D312"/>
  <c r="B313"/>
  <c r="D313"/>
  <c r="B314"/>
  <c r="D314"/>
  <c r="B315"/>
  <c r="D315"/>
  <c r="B316"/>
  <c r="D316"/>
  <c r="B317"/>
  <c r="D317"/>
  <c r="B318"/>
  <c r="D318"/>
  <c r="B319"/>
  <c r="D319"/>
  <c r="B320"/>
  <c r="D320"/>
  <c r="B321"/>
  <c r="D321"/>
  <c r="B322"/>
  <c r="D322"/>
  <c r="B323"/>
  <c r="D323"/>
  <c r="B324"/>
  <c r="D324"/>
  <c r="B325"/>
  <c r="D325"/>
  <c r="B326"/>
  <c r="D326"/>
  <c r="B327"/>
  <c r="D327"/>
  <c r="B328"/>
  <c r="D328"/>
  <c r="B329"/>
  <c r="D329"/>
  <c r="B330"/>
  <c r="D330"/>
  <c r="B331"/>
  <c r="D331"/>
  <c r="B332"/>
  <c r="D332"/>
  <c r="B333"/>
  <c r="D333"/>
  <c r="B334"/>
  <c r="D334"/>
  <c r="B335"/>
  <c r="D335"/>
  <c r="B336"/>
  <c r="D336"/>
  <c r="B337"/>
  <c r="D337"/>
  <c r="B338"/>
  <c r="D338"/>
  <c r="B339"/>
  <c r="D339"/>
  <c r="B340"/>
  <c r="D340"/>
  <c r="B341"/>
  <c r="D341"/>
  <c r="B342"/>
  <c r="D342"/>
  <c r="B343"/>
  <c r="D343"/>
  <c r="B344"/>
  <c r="D344"/>
  <c r="B345"/>
  <c r="D345"/>
  <c r="B346"/>
  <c r="D346"/>
  <c r="B347"/>
  <c r="D347"/>
  <c r="B348"/>
  <c r="D348"/>
  <c r="B349"/>
  <c r="D349"/>
  <c r="B350"/>
  <c r="D350"/>
  <c r="B351"/>
  <c r="D351"/>
  <c r="B352"/>
  <c r="D352"/>
  <c r="B353"/>
  <c r="D353"/>
  <c r="B354"/>
  <c r="D354"/>
  <c r="B355"/>
  <c r="D355"/>
  <c r="B356"/>
  <c r="D356"/>
  <c r="B357"/>
  <c r="D357"/>
  <c r="B358"/>
  <c r="D358"/>
  <c r="B359"/>
  <c r="D359"/>
  <c r="B360"/>
  <c r="D360"/>
  <c r="B361"/>
  <c r="D361"/>
  <c r="B362"/>
  <c r="D362"/>
  <c r="B363"/>
  <c r="D363"/>
  <c r="B364"/>
  <c r="D364"/>
  <c r="B365"/>
  <c r="D365"/>
  <c r="B366"/>
  <c r="D366"/>
  <c r="B367"/>
  <c r="D367"/>
  <c r="B368"/>
  <c r="D368"/>
  <c r="B369"/>
  <c r="D369"/>
  <c r="B370"/>
  <c r="D370"/>
  <c r="B371"/>
  <c r="D371"/>
  <c r="B372"/>
  <c r="D372"/>
  <c r="B373"/>
  <c r="D373"/>
  <c r="B374"/>
  <c r="D374"/>
  <c r="B375"/>
  <c r="D375"/>
  <c r="B376"/>
  <c r="D376"/>
  <c r="B377"/>
  <c r="D377"/>
  <c r="B378"/>
  <c r="D378"/>
  <c r="B379"/>
  <c r="D379"/>
  <c r="B380"/>
  <c r="D380"/>
  <c r="B381"/>
  <c r="D381"/>
  <c r="B382"/>
  <c r="D382"/>
  <c r="B383"/>
  <c r="D383"/>
  <c r="B384"/>
  <c r="D384"/>
  <c r="B385"/>
  <c r="D385"/>
  <c r="B386"/>
  <c r="D386"/>
  <c r="B387"/>
  <c r="D387"/>
  <c r="B388"/>
  <c r="D388"/>
  <c r="B389"/>
  <c r="D389"/>
  <c r="B390"/>
  <c r="D390"/>
  <c r="B391"/>
  <c r="D391"/>
  <c r="B392"/>
  <c r="D392"/>
  <c r="B393"/>
  <c r="D393"/>
  <c r="B394"/>
  <c r="D394"/>
  <c r="B395"/>
  <c r="D395"/>
  <c r="B396"/>
  <c r="D396"/>
  <c r="B397"/>
  <c r="D397"/>
  <c r="B398"/>
  <c r="D398"/>
  <c r="B399"/>
  <c r="D399"/>
  <c r="B400"/>
  <c r="D400"/>
  <c r="B401"/>
  <c r="D401"/>
  <c r="B402"/>
  <c r="D402"/>
  <c r="B403"/>
  <c r="D403"/>
  <c r="B404"/>
  <c r="D404"/>
  <c r="B405"/>
  <c r="D405"/>
  <c r="B406"/>
  <c r="D406"/>
  <c r="B407"/>
  <c r="D407"/>
  <c r="B408"/>
  <c r="D408"/>
  <c r="B409"/>
  <c r="D409"/>
  <c r="B410"/>
  <c r="D410"/>
  <c r="B411"/>
  <c r="D411"/>
  <c r="B412"/>
  <c r="D412"/>
  <c r="B413"/>
  <c r="D413"/>
  <c r="B414"/>
  <c r="D414"/>
  <c r="B415"/>
  <c r="D415"/>
  <c r="B416"/>
  <c r="D416"/>
  <c r="B417"/>
  <c r="D417"/>
  <c r="B418"/>
  <c r="D418"/>
  <c r="B419"/>
  <c r="D419"/>
  <c r="B420"/>
  <c r="D420"/>
  <c r="B421"/>
  <c r="D421"/>
  <c r="B422"/>
  <c r="D422"/>
  <c r="B423"/>
  <c r="D423"/>
  <c r="B424"/>
  <c r="D424"/>
  <c r="B425"/>
  <c r="D425"/>
  <c r="B426"/>
  <c r="D426"/>
  <c r="B427"/>
  <c r="D427"/>
  <c r="B428"/>
  <c r="D428"/>
  <c r="B429"/>
  <c r="D429"/>
  <c r="B430"/>
  <c r="D430"/>
  <c r="B431"/>
  <c r="D431"/>
  <c r="B432"/>
  <c r="D432"/>
  <c r="B433"/>
  <c r="D433"/>
  <c r="B434"/>
  <c r="D434"/>
  <c r="B435"/>
  <c r="D435"/>
  <c r="B436"/>
  <c r="D436"/>
  <c r="B437"/>
  <c r="D437"/>
  <c r="B438"/>
  <c r="D438"/>
  <c r="B439"/>
  <c r="D439"/>
  <c r="B440"/>
  <c r="D440"/>
  <c r="B441"/>
  <c r="D441"/>
  <c r="B442"/>
  <c r="D442"/>
  <c r="B443"/>
  <c r="D443"/>
  <c r="B444"/>
  <c r="D444"/>
  <c r="B445"/>
  <c r="D445"/>
  <c r="B446"/>
  <c r="D446"/>
  <c r="B447"/>
  <c r="D447"/>
  <c r="B448"/>
  <c r="D448"/>
  <c r="B449"/>
  <c r="D449"/>
  <c r="B450"/>
  <c r="D450"/>
  <c r="B451"/>
  <c r="D451"/>
  <c r="B452"/>
  <c r="D452"/>
  <c r="B453"/>
  <c r="D453"/>
  <c r="B454"/>
  <c r="D454"/>
  <c r="B455"/>
  <c r="D455"/>
  <c r="B456"/>
  <c r="D456"/>
  <c r="B457"/>
  <c r="D457"/>
  <c r="B458"/>
  <c r="D458"/>
  <c r="B459"/>
  <c r="D459"/>
  <c r="B460"/>
  <c r="D460"/>
  <c r="B461"/>
  <c r="D461"/>
  <c r="B462"/>
  <c r="D462"/>
  <c r="B463"/>
  <c r="D463"/>
  <c r="B464"/>
  <c r="D464"/>
  <c r="B465"/>
  <c r="D465"/>
  <c r="B466"/>
  <c r="D466"/>
  <c r="B467"/>
  <c r="D467"/>
  <c r="B468"/>
  <c r="D468"/>
  <c r="B469"/>
  <c r="D469"/>
  <c r="B470"/>
  <c r="D470"/>
  <c r="B471"/>
  <c r="D471"/>
  <c r="B472"/>
  <c r="D472"/>
  <c r="B473"/>
  <c r="D473"/>
  <c r="B474"/>
  <c r="D474"/>
  <c r="B475"/>
  <c r="D475"/>
  <c r="B476"/>
  <c r="D476"/>
  <c r="B477"/>
  <c r="D477"/>
  <c r="B478"/>
  <c r="D478"/>
  <c r="B479"/>
  <c r="D479"/>
  <c r="B480"/>
  <c r="D480"/>
  <c r="B481"/>
  <c r="D481"/>
  <c r="D36" l="1"/>
  <c r="B36"/>
  <c r="D35"/>
  <c r="B35"/>
  <c r="D34"/>
  <c r="B34"/>
  <c r="D33"/>
  <c r="B33"/>
  <c r="D32"/>
  <c r="B32"/>
  <c r="D31"/>
  <c r="B31"/>
  <c r="D30"/>
  <c r="B30"/>
  <c r="D29"/>
  <c r="C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</calcChain>
</file>

<file path=xl/sharedStrings.xml><?xml version="1.0" encoding="utf-8"?>
<sst xmlns="http://schemas.openxmlformats.org/spreadsheetml/2006/main" count="4658" uniqueCount="1746">
  <si>
    <t xml:space="preserve">
Про закупівлю матеріалів (сітка, фарба та суміш для газобетона)
</t>
  </si>
  <si>
    <t xml:space="preserve"> Про надання телекомунікаційних послуг споживачам</t>
  </si>
  <si>
    <t xml:space="preserve"> Про надання транспортних послуг</t>
  </si>
  <si>
    <t>00183041</t>
  </si>
  <si>
    <t>00374870</t>
  </si>
  <si>
    <t>01</t>
  </si>
  <si>
    <t>01-04/2021</t>
  </si>
  <si>
    <t>01/02-2021</t>
  </si>
  <si>
    <t>01/03-2021</t>
  </si>
  <si>
    <t>01/14-1</t>
  </si>
  <si>
    <t>01/14-2</t>
  </si>
  <si>
    <t>01/18/02</t>
  </si>
  <si>
    <t>01186691</t>
  </si>
  <si>
    <t>012867457b54449c85c4768a772a0331</t>
  </si>
  <si>
    <t>015006-1101-1000020</t>
  </si>
  <si>
    <t>015006-4102-1000002</t>
  </si>
  <si>
    <t>015006-4102-1000003</t>
  </si>
  <si>
    <t>015006-4102-1000004</t>
  </si>
  <si>
    <t>015006-4102-1000005</t>
  </si>
  <si>
    <t>01647c59b55747e1b2253ec1040463da</t>
  </si>
  <si>
    <t>01c1fefdb614427283813f1f305f5e39</t>
  </si>
  <si>
    <t>01c28d73658c4d49bd250b9cb6bcadbf</t>
  </si>
  <si>
    <t>02</t>
  </si>
  <si>
    <t>02-20/29</t>
  </si>
  <si>
    <t>02/02-2021</t>
  </si>
  <si>
    <t>02/04-1</t>
  </si>
  <si>
    <t>02/04-2</t>
  </si>
  <si>
    <t>02/04-3</t>
  </si>
  <si>
    <t>025f1815ae544e2286c97e0bf228f2e9</t>
  </si>
  <si>
    <t>03</t>
  </si>
  <si>
    <t>03-08/2021</t>
  </si>
  <si>
    <t>03-11/2021</t>
  </si>
  <si>
    <t>03/18</t>
  </si>
  <si>
    <t>03/22</t>
  </si>
  <si>
    <t>03/24</t>
  </si>
  <si>
    <t>03/25-1</t>
  </si>
  <si>
    <t>03/25-2</t>
  </si>
  <si>
    <t>03/25-3</t>
  </si>
  <si>
    <t>03/290Б</t>
  </si>
  <si>
    <t>03/291Б</t>
  </si>
  <si>
    <t>03/39Б</t>
  </si>
  <si>
    <t>03/408Б</t>
  </si>
  <si>
    <t>03/409Б</t>
  </si>
  <si>
    <t>03/40Б</t>
  </si>
  <si>
    <t>03410000-7 Деревина</t>
  </si>
  <si>
    <t>03411000-4 Деревина хвойних порід</t>
  </si>
  <si>
    <t>04</t>
  </si>
  <si>
    <t>04/01</t>
  </si>
  <si>
    <t>04/11-2020</t>
  </si>
  <si>
    <t>049f47439fc64eb58893df4e72e6cbed</t>
  </si>
  <si>
    <t>04b2e0572bb443ab9437829a735b739a</t>
  </si>
  <si>
    <t>04ce74f977d3468ea3e048c61b8028c6</t>
  </si>
  <si>
    <t>05-04/2021</t>
  </si>
  <si>
    <t>05-20/46</t>
  </si>
  <si>
    <t>05-20/47</t>
  </si>
  <si>
    <t>05-20/48</t>
  </si>
  <si>
    <t>05-20/50</t>
  </si>
  <si>
    <t>05/05/21</t>
  </si>
  <si>
    <t>05/31-1</t>
  </si>
  <si>
    <t>05/31-2</t>
  </si>
  <si>
    <t>05/31-3</t>
  </si>
  <si>
    <t>05fbef24c9d845a0be00bea241586e29</t>
  </si>
  <si>
    <t>06-04/2021</t>
  </si>
  <si>
    <t>06-20/55</t>
  </si>
  <si>
    <t>06-20/56</t>
  </si>
  <si>
    <t>06-20/57</t>
  </si>
  <si>
    <t>06-20/58</t>
  </si>
  <si>
    <t>06-20/59</t>
  </si>
  <si>
    <t>06/12-2021</t>
  </si>
  <si>
    <t>06cddf1128a64a0680d3d3c9c649e123</t>
  </si>
  <si>
    <t>07-04/2021</t>
  </si>
  <si>
    <t>07-20/60</t>
  </si>
  <si>
    <t>07-20/61</t>
  </si>
  <si>
    <t>07-20/62</t>
  </si>
  <si>
    <t>07/08-2020</t>
  </si>
  <si>
    <t>07/11</t>
  </si>
  <si>
    <t>07/12-2020</t>
  </si>
  <si>
    <t>078bd418b40f4d2fa91613d8c9c45b1b</t>
  </si>
  <si>
    <t>07ac4003b3514aaf9f58f73ef54341fd</t>
  </si>
  <si>
    <t>08-01/22</t>
  </si>
  <si>
    <t>08-04/02</t>
  </si>
  <si>
    <t>08-04/2021</t>
  </si>
  <si>
    <t>08-09/2021</t>
  </si>
  <si>
    <t>08-20/63</t>
  </si>
  <si>
    <t>08-20/64</t>
  </si>
  <si>
    <t>08/02-2021</t>
  </si>
  <si>
    <t>08/09-1</t>
  </si>
  <si>
    <t>08/12-2020</t>
  </si>
  <si>
    <t>0864eaa9b1d14f5da9cc67d0fcd069c2</t>
  </si>
  <si>
    <t>08926d5c47aa498b8625bc18f86d797f</t>
  </si>
  <si>
    <t>08ebd01784384fffba4b3dac83df97ea</t>
  </si>
  <si>
    <t>09-11/21</t>
  </si>
  <si>
    <t>09-20/65</t>
  </si>
  <si>
    <t>09-20/66</t>
  </si>
  <si>
    <t>09-20/67</t>
  </si>
  <si>
    <t>09-20/671</t>
  </si>
  <si>
    <t>09-20/68</t>
  </si>
  <si>
    <t>09-20/69</t>
  </si>
  <si>
    <t>09/03-2021</t>
  </si>
  <si>
    <t>09/09/21-10</t>
  </si>
  <si>
    <t>09/11/20</t>
  </si>
  <si>
    <t>09000000-3 Нафтопродукти, паливо, електроенергія та інші джерела енергії</t>
  </si>
  <si>
    <t>0912ea0917b043dba8cbe08fcde7881f</t>
  </si>
  <si>
    <t>09130000-9 Нафта і дистиляти</t>
  </si>
  <si>
    <t>0921/685</t>
  </si>
  <si>
    <t>0921/686</t>
  </si>
  <si>
    <t>0921/687</t>
  </si>
  <si>
    <t>0921/71</t>
  </si>
  <si>
    <t>09210000-4 Мастильні засоби</t>
  </si>
  <si>
    <t>09310000-5 Електрична енергія</t>
  </si>
  <si>
    <t>09320000-8 Пара, гаряча вода та пов’язана продукція</t>
  </si>
  <si>
    <t>0a556dfbec68407c91c1b00efe1629cc</t>
  </si>
  <si>
    <t>0bbeb5656d414bf39eb64e7d544dd11a</t>
  </si>
  <si>
    <t>0c40b7bd3ece4af8b211382d26e8eed5</t>
  </si>
  <si>
    <t>0cff1550699949be981b93cf71f44300</t>
  </si>
  <si>
    <t>0cfff46809c84d349084280aeffa8b97</t>
  </si>
  <si>
    <t>0d7147eb600c4ca4b4606ae287ff2622</t>
  </si>
  <si>
    <t>0e74d765675e4fb1aa114c21daa92f86</t>
  </si>
  <si>
    <t>0f04e62f6cc84149892fb2e800e061b2</t>
  </si>
  <si>
    <t>0f878d6d325a495e89231a7a17fc57cb</t>
  </si>
  <si>
    <t>0fd2a175cf954fbf8f8f78cec4d36277</t>
  </si>
  <si>
    <t>1</t>
  </si>
  <si>
    <t>1.1/03-2022</t>
  </si>
  <si>
    <t>1.10-11/21</t>
  </si>
  <si>
    <t>1.2/03-2022</t>
  </si>
  <si>
    <t>1.21-04/1-20-2021</t>
  </si>
  <si>
    <t>1.21-04/1-32-2022</t>
  </si>
  <si>
    <t>1/12/2022</t>
  </si>
  <si>
    <t>1/14/2021</t>
  </si>
  <si>
    <t>1/15/2021</t>
  </si>
  <si>
    <t>1/2022</t>
  </si>
  <si>
    <t>10</t>
  </si>
  <si>
    <t>10-11/2021</t>
  </si>
  <si>
    <t>10-20/70</t>
  </si>
  <si>
    <t>10-20/71</t>
  </si>
  <si>
    <t>10-20/72</t>
  </si>
  <si>
    <t>10/03-2021</t>
  </si>
  <si>
    <t>10/08-2021</t>
  </si>
  <si>
    <t>1005</t>
  </si>
  <si>
    <t>101</t>
  </si>
  <si>
    <t>1021/178</t>
  </si>
  <si>
    <t>1027п/09/22</t>
  </si>
  <si>
    <t>106</t>
  </si>
  <si>
    <t>11-10ТН</t>
  </si>
  <si>
    <t>11-20/75</t>
  </si>
  <si>
    <t>11/03-2021</t>
  </si>
  <si>
    <t>11/10-2019</t>
  </si>
  <si>
    <t>110-21-2021</t>
  </si>
  <si>
    <t>110-22-2022</t>
  </si>
  <si>
    <t>1107a325d0aa4c189b9b9de7c1615bc2</t>
  </si>
  <si>
    <t>111d712fb42b49a796dde605c9f30613</t>
  </si>
  <si>
    <t>115006-1101-1000003</t>
  </si>
  <si>
    <t>115006-1101-1000004</t>
  </si>
  <si>
    <t>115006-1101-1000005</t>
  </si>
  <si>
    <t>115006-1101-1000020</t>
  </si>
  <si>
    <t>115006-1101-1000021</t>
  </si>
  <si>
    <t>115006-1101-1000022</t>
  </si>
  <si>
    <t>115006-1101-1000030</t>
  </si>
  <si>
    <t>115006-1101-1000031</t>
  </si>
  <si>
    <t>115006-4102-1000006</t>
  </si>
  <si>
    <t>115006-4102-1000007</t>
  </si>
  <si>
    <t>116</t>
  </si>
  <si>
    <t>12-09</t>
  </si>
  <si>
    <t>12-20/75</t>
  </si>
  <si>
    <t>12-20/76</t>
  </si>
  <si>
    <t>12-20/77</t>
  </si>
  <si>
    <t>12-20/78</t>
  </si>
  <si>
    <t>12-20/79</t>
  </si>
  <si>
    <t>12-20/80</t>
  </si>
  <si>
    <t>12-20/81</t>
  </si>
  <si>
    <t>12.1-11/21</t>
  </si>
  <si>
    <t>12.2-11/21</t>
  </si>
  <si>
    <t>12/02-2020</t>
  </si>
  <si>
    <t>121</t>
  </si>
  <si>
    <t>122</t>
  </si>
  <si>
    <t>123</t>
  </si>
  <si>
    <t>1249dd7c2f904ae99c2f88e6e7898610</t>
  </si>
  <si>
    <t>13</t>
  </si>
  <si>
    <t>13/01/21</t>
  </si>
  <si>
    <t>13/02-2020</t>
  </si>
  <si>
    <t>130</t>
  </si>
  <si>
    <t>13070bb2a8f44515949e8d6c7a193411</t>
  </si>
  <si>
    <t>131</t>
  </si>
  <si>
    <t>13b65f0351ac4c4fa80309773f2f6f31</t>
  </si>
  <si>
    <t>14.1/04-2021</t>
  </si>
  <si>
    <t>14.1/2022</t>
  </si>
  <si>
    <t>14.2/2022</t>
  </si>
  <si>
    <t>14057601</t>
  </si>
  <si>
    <t>1444 сп</t>
  </si>
  <si>
    <t>1448 сп</t>
  </si>
  <si>
    <t>147</t>
  </si>
  <si>
    <t>15.1/03-2021</t>
  </si>
  <si>
    <t>15.1/04-2021</t>
  </si>
  <si>
    <t>15.2/03-2021</t>
  </si>
  <si>
    <t>15.2/04-2021</t>
  </si>
  <si>
    <t>15/01-2021</t>
  </si>
  <si>
    <t>15/03-2021</t>
  </si>
  <si>
    <t>150cf63f12ff40c4b1294fe0cd2b2a14</t>
  </si>
  <si>
    <t>1528603016</t>
  </si>
  <si>
    <t>156</t>
  </si>
  <si>
    <t>1567/34/07-2021</t>
  </si>
  <si>
    <t>1568/34/07-2020</t>
  </si>
  <si>
    <t>15857a8387bc468e9bc5c7fecaf1279d</t>
  </si>
  <si>
    <t>16-04/2021</t>
  </si>
  <si>
    <t>16-09/2021</t>
  </si>
  <si>
    <t>16-11/22</t>
  </si>
  <si>
    <t>16.1/03-2021</t>
  </si>
  <si>
    <t>16/02/2021</t>
  </si>
  <si>
    <t>162</t>
  </si>
  <si>
    <t>163479fe4a9240e9886c00f6bbdc8967</t>
  </si>
  <si>
    <t>163c535fd4164f54a70de1b26826c61f</t>
  </si>
  <si>
    <t>165a98f68bcc43c68d56b5f11b409588</t>
  </si>
  <si>
    <t>169/03-2021</t>
  </si>
  <si>
    <t>17.1/10-2022</t>
  </si>
  <si>
    <t>17.2/10-2022</t>
  </si>
  <si>
    <t>1723cc7e88c54257bb6f4c559c0b69a0</t>
  </si>
  <si>
    <t>1784/34/07-2022</t>
  </si>
  <si>
    <t>1785/34/07-22</t>
  </si>
  <si>
    <t>179</t>
  </si>
  <si>
    <t>18-07-416</t>
  </si>
  <si>
    <t>18-10/22</t>
  </si>
  <si>
    <t>18.1/03-2021</t>
  </si>
  <si>
    <t>18.2/03-2021</t>
  </si>
  <si>
    <t>18.3/03-2021</t>
  </si>
  <si>
    <t>18.4/03-2021</t>
  </si>
  <si>
    <t>18/2021</t>
  </si>
  <si>
    <t>180</t>
  </si>
  <si>
    <t>18110000-3 Формений одяг</t>
  </si>
  <si>
    <t>1812 сп</t>
  </si>
  <si>
    <t>18130000-9 Спеціальний робочий одяг</t>
  </si>
  <si>
    <t>1813906559</t>
  </si>
  <si>
    <t>18140000-2 Аксесуари до робочого одягу</t>
  </si>
  <si>
    <t>182</t>
  </si>
  <si>
    <t>182/01-2020</t>
  </si>
  <si>
    <t>182573b219dd4297a27e42d69438daba</t>
  </si>
  <si>
    <t>183</t>
  </si>
  <si>
    <t>185</t>
  </si>
  <si>
    <t>185/01-2020</t>
  </si>
  <si>
    <t>185/02-2020</t>
  </si>
  <si>
    <t>187</t>
  </si>
  <si>
    <t>187/01-2020</t>
  </si>
  <si>
    <t>187/02-2020</t>
  </si>
  <si>
    <t>187/03-2020</t>
  </si>
  <si>
    <t>18920000-4 Сумки</t>
  </si>
  <si>
    <t>18ecfc27922948b78e07010db13c43d5</t>
  </si>
  <si>
    <t>19/02-2020</t>
  </si>
  <si>
    <t>19/03-2021</t>
  </si>
  <si>
    <t>19/05-21-02</t>
  </si>
  <si>
    <t>19/8</t>
  </si>
  <si>
    <t>190</t>
  </si>
  <si>
    <t>190/01-2020</t>
  </si>
  <si>
    <t>19296144</t>
  </si>
  <si>
    <t>19298982</t>
  </si>
  <si>
    <t>193</t>
  </si>
  <si>
    <t>194</t>
  </si>
  <si>
    <t>195</t>
  </si>
  <si>
    <t>19510000-4 Гумові вироби</t>
  </si>
  <si>
    <t>19520000-7 Пластмасові вироби</t>
  </si>
  <si>
    <t>195704fc6f9d4a51b2cb84465466625c</t>
  </si>
  <si>
    <t>19640000-4 Поліетиленові мішки та пакети для сміття</t>
  </si>
  <si>
    <t>1976a9c01b8a4776af82cc2e1c7f16ea</t>
  </si>
  <si>
    <t>199</t>
  </si>
  <si>
    <t>199/01-2020</t>
  </si>
  <si>
    <t>19fb84555d7141b1aca5a8446db88d8d</t>
  </si>
  <si>
    <t>1bbe596b7a6d46a68b88396ea47cc952</t>
  </si>
  <si>
    <t>1c4d99b0b7d64de7adc62a9b2812904e</t>
  </si>
  <si>
    <t>1c6bd66deb7f4af0bb5378e8bddb597a</t>
  </si>
  <si>
    <t>1cee8a70f55f469f9116ecf61057582c</t>
  </si>
  <si>
    <t>1d543559d7f640bf94077da5ad0cd7e9</t>
  </si>
  <si>
    <t>1d8dbd16c5c841d385c05e2a85b4f37c</t>
  </si>
  <si>
    <t>1d90c697d43e4b86a0637230e1135959</t>
  </si>
  <si>
    <t>1dff16e9c684417e8c6c2ed1c9df4bb0</t>
  </si>
  <si>
    <t>1e183a0d59d94f75be2182e37384c458</t>
  </si>
  <si>
    <t>1доДог1/2022</t>
  </si>
  <si>
    <t>2-21</t>
  </si>
  <si>
    <t>2.10-11/21</t>
  </si>
  <si>
    <t>2.4А</t>
  </si>
  <si>
    <t>20-12/22</t>
  </si>
  <si>
    <t>20/03-2021</t>
  </si>
  <si>
    <t>20/05/1-2020</t>
  </si>
  <si>
    <t>20/05/2</t>
  </si>
  <si>
    <t>20/05/2-2020</t>
  </si>
  <si>
    <t>20/05/3-2020</t>
  </si>
  <si>
    <t>20/05/4-2020</t>
  </si>
  <si>
    <t>20/05/5-2020</t>
  </si>
  <si>
    <t>201</t>
  </si>
  <si>
    <t>201-В</t>
  </si>
  <si>
    <t>2015</t>
  </si>
  <si>
    <t>203</t>
  </si>
  <si>
    <t>2035407826</t>
  </si>
  <si>
    <t>205</t>
  </si>
  <si>
    <t>207</t>
  </si>
  <si>
    <t>2086e1ae8fd34b8ebf0453b48c476c9d</t>
  </si>
  <si>
    <t>20872794</t>
  </si>
  <si>
    <t>20875746</t>
  </si>
  <si>
    <t>209</t>
  </si>
  <si>
    <t>20911011</t>
  </si>
  <si>
    <t>2098f54b9b254489a856850d72d9fc1e</t>
  </si>
  <si>
    <t>20ea710404014a5f848467db5e3973d5</t>
  </si>
  <si>
    <t>20fc5f2eaa734add9cab65f813a955e8</t>
  </si>
  <si>
    <t>21</t>
  </si>
  <si>
    <t>21-09/22</t>
  </si>
  <si>
    <t>21-10/19</t>
  </si>
  <si>
    <t>21/10-2020</t>
  </si>
  <si>
    <t>212</t>
  </si>
  <si>
    <t>213</t>
  </si>
  <si>
    <t>213/01-2020</t>
  </si>
  <si>
    <t>215</t>
  </si>
  <si>
    <t>21560766</t>
  </si>
  <si>
    <t>21868348</t>
  </si>
  <si>
    <t>219</t>
  </si>
  <si>
    <t>219-220</t>
  </si>
  <si>
    <t>2191508531</t>
  </si>
  <si>
    <t>21d42539ea1c4b6d8ed4b04d39f5400d</t>
  </si>
  <si>
    <t>22-09</t>
  </si>
  <si>
    <t>22-09/2021</t>
  </si>
  <si>
    <t>22-11/21</t>
  </si>
  <si>
    <t>22/03-2021</t>
  </si>
  <si>
    <t>22/04-2021</t>
  </si>
  <si>
    <t>22/12-2020</t>
  </si>
  <si>
    <t>22/12-2020/1</t>
  </si>
  <si>
    <t>220</t>
  </si>
  <si>
    <t>2208802391</t>
  </si>
  <si>
    <t>2209008079</t>
  </si>
  <si>
    <t>2216b912d2b645abae8b7c894262db48</t>
  </si>
  <si>
    <t>22210000-5 Газети</t>
  </si>
  <si>
    <t>2225016328</t>
  </si>
  <si>
    <t>22362867</t>
  </si>
  <si>
    <t>22410000-7 Марки</t>
  </si>
  <si>
    <t>22432779</t>
  </si>
  <si>
    <t>22437619</t>
  </si>
  <si>
    <t>2262406357</t>
  </si>
  <si>
    <t>227e50e4075948dda795e49a1f45d133</t>
  </si>
  <si>
    <t>22868348</t>
  </si>
  <si>
    <t>229</t>
  </si>
  <si>
    <t>23.1</t>
  </si>
  <si>
    <t>23.2</t>
  </si>
  <si>
    <t>23.3</t>
  </si>
  <si>
    <t>23.4</t>
  </si>
  <si>
    <t>2307108146</t>
  </si>
  <si>
    <t>2342720333</t>
  </si>
  <si>
    <t>2353107351</t>
  </si>
  <si>
    <t>23733900</t>
  </si>
  <si>
    <t>2381105924</t>
  </si>
  <si>
    <t>2387113950</t>
  </si>
  <si>
    <t>24</t>
  </si>
  <si>
    <t>24-10/22</t>
  </si>
  <si>
    <t>24-11</t>
  </si>
  <si>
    <t>24-11ТН</t>
  </si>
  <si>
    <t>24.1</t>
  </si>
  <si>
    <t>24.2</t>
  </si>
  <si>
    <t>24.3</t>
  </si>
  <si>
    <t>24.4</t>
  </si>
  <si>
    <t>24.5</t>
  </si>
  <si>
    <t>24/03-2021</t>
  </si>
  <si>
    <t>24/11-2020</t>
  </si>
  <si>
    <t>2405515914</t>
  </si>
  <si>
    <t>2424201900</t>
  </si>
  <si>
    <t>24450000-3 Агрохімічна продукція</t>
  </si>
  <si>
    <t>2447407722</t>
  </si>
  <si>
    <t>24548027</t>
  </si>
  <si>
    <t>24910000-6 Клеї</t>
  </si>
  <si>
    <t>2493006675</t>
  </si>
  <si>
    <t>24950000-8 Спеціалізована хімічна продукція</t>
  </si>
  <si>
    <t>24b603f13719406ab56f4ece22f3c95b</t>
  </si>
  <si>
    <t>24e868ea85414c6a8a598b3ed7c0dd54</t>
  </si>
  <si>
    <t>25</t>
  </si>
  <si>
    <t>25-10/2021</t>
  </si>
  <si>
    <t>25-26</t>
  </si>
  <si>
    <t>25.1/11-2021</t>
  </si>
  <si>
    <t>25/01-21</t>
  </si>
  <si>
    <t>25/03-2021</t>
  </si>
  <si>
    <t>25/11-2020</t>
  </si>
  <si>
    <t>25/11/22</t>
  </si>
  <si>
    <t>2530606352</t>
  </si>
  <si>
    <t>2533015544</t>
  </si>
  <si>
    <t>25382899</t>
  </si>
  <si>
    <t>2541411402</t>
  </si>
  <si>
    <t>2543505589</t>
  </si>
  <si>
    <t>2549001273</t>
  </si>
  <si>
    <t>2555515143</t>
  </si>
  <si>
    <t>25596caa5f8347edb5c8db16c7b9fec2</t>
  </si>
  <si>
    <t>256-В</t>
  </si>
  <si>
    <t>2595506740</t>
  </si>
  <si>
    <t>25f12c5976c04bbc952564811fb9fcbe</t>
  </si>
  <si>
    <t>26</t>
  </si>
  <si>
    <t>26.1-10</t>
  </si>
  <si>
    <t>26/03-2021</t>
  </si>
  <si>
    <t>26/10-2020</t>
  </si>
  <si>
    <t>26/11-2020</t>
  </si>
  <si>
    <t>2608206336</t>
  </si>
  <si>
    <t>26233167</t>
  </si>
  <si>
    <t>265</t>
  </si>
  <si>
    <t>2661e39f742746d880a032ac765295a6</t>
  </si>
  <si>
    <t>2673401606</t>
  </si>
  <si>
    <t>2688301430</t>
  </si>
  <si>
    <t>27.1-10</t>
  </si>
  <si>
    <t>27.2-10</t>
  </si>
  <si>
    <t>2716900015</t>
  </si>
  <si>
    <t>272</t>
  </si>
  <si>
    <t>2728520288</t>
  </si>
  <si>
    <t>2738903625</t>
  </si>
  <si>
    <t>28</t>
  </si>
  <si>
    <t>2839508110</t>
  </si>
  <si>
    <t>2857511492</t>
  </si>
  <si>
    <t>287293960d6c47a994b501bcc046bdc7</t>
  </si>
  <si>
    <t>2881809929</t>
  </si>
  <si>
    <t>2890716774</t>
  </si>
  <si>
    <t>28965e63a2084ef4b33edab7cdba7526</t>
  </si>
  <si>
    <t>29-04</t>
  </si>
  <si>
    <t>29.1/03-2022</t>
  </si>
  <si>
    <t>29.2/03-2022</t>
  </si>
  <si>
    <t>29.3/03-2022</t>
  </si>
  <si>
    <t>29.4/03-2022</t>
  </si>
  <si>
    <t>29.5/03-2022</t>
  </si>
  <si>
    <t>29/01-2020</t>
  </si>
  <si>
    <t>29/06</t>
  </si>
  <si>
    <t>2915301463</t>
  </si>
  <si>
    <t>291de2406b5f4b34a0ac3db4b08fcaad</t>
  </si>
  <si>
    <t>292</t>
  </si>
  <si>
    <t>2925108179</t>
  </si>
  <si>
    <t>2931492247504e2fa1be7728d191813c</t>
  </si>
  <si>
    <t>294f8919b2f84374b8b0bca2b6a161a1</t>
  </si>
  <si>
    <t>2955414560</t>
  </si>
  <si>
    <t>2976417685</t>
  </si>
  <si>
    <t>2978623554</t>
  </si>
  <si>
    <t>298725e967434c47950bbdf50acc6c5d</t>
  </si>
  <si>
    <t>2bee61dbe4f64677b0a11a404d09e7b3</t>
  </si>
  <si>
    <t>2c68fe9230974e549a9d491ab33c4733</t>
  </si>
  <si>
    <t>2c6e22bcbeea450d89ab9a6a76c250cd</t>
  </si>
  <si>
    <t>2d61a3b28f2d45988c7d266702389275</t>
  </si>
  <si>
    <t>2e48a50e9f5648d1aef7167fba1320b6</t>
  </si>
  <si>
    <t>2e5b31bf08414830b1c80726af668485</t>
  </si>
  <si>
    <t>2e5eb511ffa944aeb64f292bfc84bfab</t>
  </si>
  <si>
    <t>2ede6b5aa08c40e0ad161fc63b4911ce</t>
  </si>
  <si>
    <t>2f0cff6cbf434a5ca59aa085ac84d078</t>
  </si>
  <si>
    <t>3.10-11/21</t>
  </si>
  <si>
    <t>30055111</t>
  </si>
  <si>
    <t>30190000-7 Офісне устаткування та приладдя різне</t>
  </si>
  <si>
    <t>30192153-8 Штампи</t>
  </si>
  <si>
    <t>30192700-8 Канцелярські товари</t>
  </si>
  <si>
    <t>30197630-1 Папір для друку</t>
  </si>
  <si>
    <t>30213000-5 Персональні комп’ютери</t>
  </si>
  <si>
    <t>30230000-0 Комп’ютерне обладнання</t>
  </si>
  <si>
    <t>30233180-6 Флеш-накопичувачі</t>
  </si>
  <si>
    <t>30244103</t>
  </si>
  <si>
    <t>30307697</t>
  </si>
  <si>
    <t>3035</t>
  </si>
  <si>
    <t>3050517803</t>
  </si>
  <si>
    <t>3082521991</t>
  </si>
  <si>
    <t>30e4d3ea65264074b4f1b960562b6900</t>
  </si>
  <si>
    <t>31</t>
  </si>
  <si>
    <t>31-01</t>
  </si>
  <si>
    <t>31-01/22</t>
  </si>
  <si>
    <t>31-05/2021</t>
  </si>
  <si>
    <t>31-05/2021;ДУ1;ДУ2</t>
  </si>
  <si>
    <t>31/01-2020</t>
  </si>
  <si>
    <t>31120000-3 Генератори</t>
  </si>
  <si>
    <t>31158000-8 Зарядні пристрої</t>
  </si>
  <si>
    <t>31210000-1 Електрична апаратура для комутування та захисту електричних кіл</t>
  </si>
  <si>
    <t>31220000-4 Елементи електричних схем</t>
  </si>
  <si>
    <t>31300000-9 Ізольовані дроти та кабелі</t>
  </si>
  <si>
    <t>31430000-9 Електричні акумулятори</t>
  </si>
  <si>
    <t>31431000-6 Свинцево-кислотні акумуляторні батареї</t>
  </si>
  <si>
    <t>31440000-2 Акумуляторні батареї</t>
  </si>
  <si>
    <t>31500000-1 Освітлювальне обладнання та електричні лампи</t>
  </si>
  <si>
    <t>31510000-4 Електричні лампи розжарення</t>
  </si>
  <si>
    <t>31520000-7 Світильники та освітлювальна арматура</t>
  </si>
  <si>
    <t>31537375</t>
  </si>
  <si>
    <t>31680000-6 Електричне приладдя та супутні товари до електричного обладнання</t>
  </si>
  <si>
    <t>31711000-3 Електронне приладдя</t>
  </si>
  <si>
    <t>31711140-6 Електроди</t>
  </si>
  <si>
    <t>3182020865</t>
  </si>
  <si>
    <t>31822150</t>
  </si>
  <si>
    <t>3184807038</t>
  </si>
  <si>
    <t>319</t>
  </si>
  <si>
    <t>31948866</t>
  </si>
  <si>
    <t>3202913723</t>
  </si>
  <si>
    <t>32204916</t>
  </si>
  <si>
    <t>3221311839</t>
  </si>
  <si>
    <t>32235000-9 Системи відеоспостереження замкнутого типу</t>
  </si>
  <si>
    <t>32260000-3 Обладнання для передавання даних</t>
  </si>
  <si>
    <t>3229313013</t>
  </si>
  <si>
    <t>32323500-8 Системи відеоспостереження</t>
  </si>
  <si>
    <t>32340000-8 Мікрофони та гучномовці</t>
  </si>
  <si>
    <t>3240813735</t>
  </si>
  <si>
    <t>32420000-3 Мережеве обладнання</t>
  </si>
  <si>
    <t>32580000-2 Інформаційне обладнання</t>
  </si>
  <si>
    <t>32723765</t>
  </si>
  <si>
    <t>32930af8f268477da697623c1b209e4e</t>
  </si>
  <si>
    <t>32edd95c8c764bfb9ebf2a40426cc336</t>
  </si>
  <si>
    <t>33</t>
  </si>
  <si>
    <t>33000000-0 Медичне обладнання, фармацевтична продукція та засоби особистої гігієни</t>
  </si>
  <si>
    <t>331/2022-Р</t>
  </si>
  <si>
    <t>33140000-3 Медичні матеріали</t>
  </si>
  <si>
    <t>33190000-8 Медичне обладнання та вироби медичного призначення різні</t>
  </si>
  <si>
    <t>3343304870</t>
  </si>
  <si>
    <t>33600000-6 Фармацевтична продукція</t>
  </si>
  <si>
    <t>33631600-8 Антисептичні та дезінфекційні засоби</t>
  </si>
  <si>
    <t>33690000-3 Лікарські засоби різні</t>
  </si>
  <si>
    <t>33711900-6 Мило</t>
  </si>
  <si>
    <t>33760000-5 Туалетний папір, носові хустинки, рушники для рук і серветки</t>
  </si>
  <si>
    <t>33763000-6 Паперові рушники для рук</t>
  </si>
  <si>
    <t>34.1</t>
  </si>
  <si>
    <t>34.2</t>
  </si>
  <si>
    <t>34.3</t>
  </si>
  <si>
    <t>34.4</t>
  </si>
  <si>
    <t>34.5</t>
  </si>
  <si>
    <t>34033746</t>
  </si>
  <si>
    <t>3439-271021</t>
  </si>
  <si>
    <t>344-345</t>
  </si>
  <si>
    <t>3484510652</t>
  </si>
  <si>
    <t>3484811516</t>
  </si>
  <si>
    <t>349</t>
  </si>
  <si>
    <t>35.1</t>
  </si>
  <si>
    <t>35.2</t>
  </si>
  <si>
    <t>35.3</t>
  </si>
  <si>
    <t>35.4</t>
  </si>
  <si>
    <t>35.5</t>
  </si>
  <si>
    <t>352</t>
  </si>
  <si>
    <t>35261000-1 Інформаційні дошки</t>
  </si>
  <si>
    <t>353</t>
  </si>
  <si>
    <t>3533806692</t>
  </si>
  <si>
    <t>3546905476</t>
  </si>
  <si>
    <t>35810000-5 Індивідуальне обмундирування</t>
  </si>
  <si>
    <t>36</t>
  </si>
  <si>
    <t>36192941</t>
  </si>
  <si>
    <t>362f0e9297814474a6a95f3838eb4209</t>
  </si>
  <si>
    <t>365/2021-Р</t>
  </si>
  <si>
    <t>365cfd0a654f4308919391b1a863608e</t>
  </si>
  <si>
    <t>36865753</t>
  </si>
  <si>
    <t>36989671</t>
  </si>
  <si>
    <t>370</t>
  </si>
  <si>
    <t>371a2f9966e64773bf5b14e71cbe4e59</t>
  </si>
  <si>
    <t>37333435</t>
  </si>
  <si>
    <t>37368253</t>
  </si>
  <si>
    <t>37412250-6 Маски, ласти чи дихальні трубки</t>
  </si>
  <si>
    <t>37716155</t>
  </si>
  <si>
    <t>37832980</t>
  </si>
  <si>
    <t>37f805675eb947ab9a8f1f2f0b972fcc</t>
  </si>
  <si>
    <t>380c7d5923c0477e9dfdf302b0031168</t>
  </si>
  <si>
    <t>38115832</t>
  </si>
  <si>
    <t>381a33de897d44c3bda552589bdf3d79</t>
  </si>
  <si>
    <t>38340000-0 Прилади для вимірювання величин</t>
  </si>
  <si>
    <t>38694211</t>
  </si>
  <si>
    <t>386d9926448e4a4a84faec556611de46</t>
  </si>
  <si>
    <t>388</t>
  </si>
  <si>
    <t>38929750</t>
  </si>
  <si>
    <t>38b572c013ef44968c3e26eaaed66552</t>
  </si>
  <si>
    <t>38ec208b44e24876a382d8337fc89185</t>
  </si>
  <si>
    <t>39120000-9 Столи, серванти, письмові столи та книжкові шафи</t>
  </si>
  <si>
    <t>39130000-2 Офісні меблі</t>
  </si>
  <si>
    <t>391683</t>
  </si>
  <si>
    <t>39190000-0 Шпалери та інші настінні покриття</t>
  </si>
  <si>
    <t>39220000-0 Кухонне приладдя, товари для дому та господарства і приладдя для закладів громадського харчування</t>
  </si>
  <si>
    <t>39224000-8 Мітли, щітки та інше господарське приладдя</t>
  </si>
  <si>
    <t>39240000-6 Різальні інструменти</t>
  </si>
  <si>
    <t>393</t>
  </si>
  <si>
    <t>39522530-1 Намети</t>
  </si>
  <si>
    <t>39525300-1 Рятувальні жилети</t>
  </si>
  <si>
    <t>39540000-9 Вироби різні з канату, мотузки, шпагату та сітки</t>
  </si>
  <si>
    <t>39560000-5 Текстильні вироби різні</t>
  </si>
  <si>
    <t>39624900</t>
  </si>
  <si>
    <t>3974763cf91141088bf4ac716f6b32ee</t>
  </si>
  <si>
    <t>39830000-9 Продукція для чищення</t>
  </si>
  <si>
    <t>39831200-8 Мийні засоби</t>
  </si>
  <si>
    <t>39908375</t>
  </si>
  <si>
    <t>3b3059a5b8b34415b9357e92946aed75</t>
  </si>
  <si>
    <t>3c49b276fff542e7a46189236ced6f73</t>
  </si>
  <si>
    <t>3c90c28fa59f485e9a4c4c34777e5263</t>
  </si>
  <si>
    <t>3c9b26db61d0491bb3f93d3099f6711e</t>
  </si>
  <si>
    <t>3d32f3d639074c09ae0e52d3f71104c0</t>
  </si>
  <si>
    <t>3d4ff2e1dd184b489595d03d00422a4e</t>
  </si>
  <si>
    <t>3d7b38876ca443b7b34200e001a8e4c7</t>
  </si>
  <si>
    <t>3d7d799ad2494d67b9e9c1e68923da25</t>
  </si>
  <si>
    <t>3dbc80a0be5c477aa2158d08eccff799</t>
  </si>
  <si>
    <t>3ed86363ebf04923a6bd1b450a0be8f8</t>
  </si>
  <si>
    <t>3f6f715c39a04a74b3af752c5aa53499</t>
  </si>
  <si>
    <t>3fd797edb169406d835fcb814842a312</t>
  </si>
  <si>
    <t>4/2021</t>
  </si>
  <si>
    <t>40</t>
  </si>
  <si>
    <t>40109016</t>
  </si>
  <si>
    <t>401b4cb41f0046d5831c7e6bbb3de3ab</t>
  </si>
  <si>
    <t>40515336</t>
  </si>
  <si>
    <t>40772555</t>
  </si>
  <si>
    <t>40929f2ee8cf4e5295d5b0d4ef72faa9</t>
  </si>
  <si>
    <t>41110000-3 Питна вода</t>
  </si>
  <si>
    <t>41609173</t>
  </si>
  <si>
    <t>41702eb0f79a4f6e86d8da86512581af</t>
  </si>
  <si>
    <t>42</t>
  </si>
  <si>
    <t>420e5a4387354b6dac44bd370d6df80a</t>
  </si>
  <si>
    <t>42111000-0 Мотори</t>
  </si>
  <si>
    <t>42129888</t>
  </si>
  <si>
    <t>42204713</t>
  </si>
  <si>
    <t>42241823</t>
  </si>
  <si>
    <t>42492651</t>
  </si>
  <si>
    <t>42510000-4 Теплообмінники, кондиціонери повітря, холодильне обладнання та фільтрувальні пристрої</t>
  </si>
  <si>
    <t>42541263</t>
  </si>
  <si>
    <t>4265032702854f88acb2f84031de72bb</t>
  </si>
  <si>
    <t>42652000-1 Електромеханічні ручні інструменти</t>
  </si>
  <si>
    <t>42d0e22e61d24a59b3624150e4a37ace</t>
  </si>
  <si>
    <t>42d5b63bed3a4ed08f0c75f0da0d3201</t>
  </si>
  <si>
    <t>42e48ca0254c4d55a6862068e291f58d</t>
  </si>
  <si>
    <t>42f308a59a884a458f2421e260876b5d</t>
  </si>
  <si>
    <t>43</t>
  </si>
  <si>
    <t>43548923</t>
  </si>
  <si>
    <t>43830000-0 Електричні інструменти</t>
  </si>
  <si>
    <t>44110000-4 Конструкційні матеріали</t>
  </si>
  <si>
    <t>44111000-1 Будівельні матеріали</t>
  </si>
  <si>
    <t>44112500-3 Покрівельні матеріали</t>
  </si>
  <si>
    <t>44115700-6 Зовнішні жалюзі</t>
  </si>
  <si>
    <t>44173000-3 Стрічки</t>
  </si>
  <si>
    <t>44176000-4 Плівки</t>
  </si>
  <si>
    <t>44210000-5 Конструкції та їх частини</t>
  </si>
  <si>
    <t>44213e8fbe564044b63ff4f66e9490ad</t>
  </si>
  <si>
    <t>44221000-5 Вікна, двері та супутні вироби</t>
  </si>
  <si>
    <t>44221200-7 Двері</t>
  </si>
  <si>
    <t>44311000-3 Металеві троси</t>
  </si>
  <si>
    <t>44313000-7 Металеві сітки</t>
  </si>
  <si>
    <t>44320000-9 Кабелі та супутня продукція</t>
  </si>
  <si>
    <t>44410000-7 Вироби для ванної кімнати та кухні</t>
  </si>
  <si>
    <t>44423000-1 Вироби різні</t>
  </si>
  <si>
    <t>44510000-8 Знаряддя</t>
  </si>
  <si>
    <t>44520000-1 Замки, ключі та петлі</t>
  </si>
  <si>
    <t>44521000-8 Навісні та врізні замки різні</t>
  </si>
  <si>
    <t>44530000-4 Кріпильні деталі</t>
  </si>
  <si>
    <t>44810000-1 Фарби</t>
  </si>
  <si>
    <t>44830000-7 Мастики, шпаклівки, замазки та розчинники</t>
  </si>
  <si>
    <t>44c00906742c4426b409fdd54a0b62cc</t>
  </si>
  <si>
    <t>44c5f99f139241ef839c9ab27b5a3798</t>
  </si>
  <si>
    <t>453</t>
  </si>
  <si>
    <t>45310000-3 Електромонтажні роботи</t>
  </si>
  <si>
    <t>45454000-4 Реконструкція</t>
  </si>
  <si>
    <t>45510000-5 Прокат підіймальних кранів із оператором</t>
  </si>
  <si>
    <t>461393</t>
  </si>
  <si>
    <t>463eb546d141483a8d05ac2a0a179bc6</t>
  </si>
  <si>
    <t>47/2034</t>
  </si>
  <si>
    <t>475</t>
  </si>
  <si>
    <t>478a7beb2721424c893d1b768f593505</t>
  </si>
  <si>
    <t>4804e3fc38e24ad5973921bff703963c</t>
  </si>
  <si>
    <t>48e78646f14845b6b0eb757deada7770</t>
  </si>
  <si>
    <t>48Е000-91/18</t>
  </si>
  <si>
    <t>4a03979468da4edc81a213ce837d7d34</t>
  </si>
  <si>
    <t>4a8fae38732c4893aebdbf17a80be02f</t>
  </si>
  <si>
    <t>4ab033529cf247ca851f97546206d030</t>
  </si>
  <si>
    <t>4ad5e90d2f3140848e1c3d24c4fa2dd2</t>
  </si>
  <si>
    <t>4b41c2bfa79e42cfa2fb4b84f07b59a7</t>
  </si>
  <si>
    <t>4c0fe998b0154ac0a02e8365f2a95810</t>
  </si>
  <si>
    <t>4d496bd0de1d4511b01d8f88b15964fc</t>
  </si>
  <si>
    <t>4dba721cb8f74ac2991f213c530a7920</t>
  </si>
  <si>
    <t>4e3ca767dbe3402fb53930b319fd9704</t>
  </si>
  <si>
    <t>4e437902ce414fe888ceb02de9fbeace</t>
  </si>
  <si>
    <t>4e48c63c6445426585ec869d718d1917</t>
  </si>
  <si>
    <t>5-16/09</t>
  </si>
  <si>
    <t>5022e216bbe7416e835553da759c8064</t>
  </si>
  <si>
    <t>50310000-1 Технічне обслуговування і ремонт офісної техніки</t>
  </si>
  <si>
    <t>50324100-3 Послуги з технічного обслуговування систем</t>
  </si>
  <si>
    <t>50330000-7 Послуги з технічного обслуговування телекомунікаційного обладнання</t>
  </si>
  <si>
    <t>50331000-4 Послуги з ремонту і технічного обслуговування ліній телекомунікацій</t>
  </si>
  <si>
    <t>50343000-1 Послуги з ремонту і технічного обслуговування відеообладнання</t>
  </si>
  <si>
    <t>50410000-2 Послуги з ремонту і технічного обслуговування вимірювальних, випробувальних і контрольних приладів</t>
  </si>
  <si>
    <t>50413200-5 Послуги з ремонту і технічного обслуговування протипожежного обладнання</t>
  </si>
  <si>
    <t>50530cc6daec44f9b6347668c8efb7b0</t>
  </si>
  <si>
    <t>50610000-4 Послуги з ремонту і технічного обслуговування захисного обладнання</t>
  </si>
  <si>
    <t>51</t>
  </si>
  <si>
    <t>5127b813565845f893b66024a2593d34</t>
  </si>
  <si>
    <t>51310000-8 Послуги зі встановлення радіо-, телевізійної, аудіо- та відеоапаратури</t>
  </si>
  <si>
    <t>513387082dda4de8b738e11d053a013a</t>
  </si>
  <si>
    <t>514</t>
  </si>
  <si>
    <t>515</t>
  </si>
  <si>
    <t>51S000-119/21</t>
  </si>
  <si>
    <t>51S000-290/20</t>
  </si>
  <si>
    <t>51S000-387/22</t>
  </si>
  <si>
    <t>51S000-479/20</t>
  </si>
  <si>
    <t>51a8af6142e14b198f10b8f2ae7b1f12</t>
  </si>
  <si>
    <t>529bb76fead64aa896a89aef8d82c6ef</t>
  </si>
  <si>
    <t>534b71e417cf4dc69881f7e868ad3eb7</t>
  </si>
  <si>
    <t>536d530cad2b43a8921bc9d102889ce1</t>
  </si>
  <si>
    <t>53cee16061f84a79b0884bce11de3f64</t>
  </si>
  <si>
    <t>54943f52c6c04a3795821e4c2db47344</t>
  </si>
  <si>
    <t>551</t>
  </si>
  <si>
    <t>55ef32a01e9149baa46d01cae1e6de2f</t>
  </si>
  <si>
    <t>56fd868262d349c4b0b94b7683f2a3df</t>
  </si>
  <si>
    <t>580e1aca3ff24450a9236337c4a6badd</t>
  </si>
  <si>
    <t>587c55a5adeb48489c934234cf9e259f</t>
  </si>
  <si>
    <t>5915d6282f0346498be5de5fa4865a11</t>
  </si>
  <si>
    <t>596,12</t>
  </si>
  <si>
    <t>597f363800d34fa5a89a795cfe47a695</t>
  </si>
  <si>
    <t>599412dfee5a438b8b3b61b0dbc34c13</t>
  </si>
  <si>
    <t>59db3700767b41519a34d915782dcd2f</t>
  </si>
  <si>
    <t>59faecba6a0149bea46f86ef10c46683</t>
  </si>
  <si>
    <t>5b6f83126fd7417d827238eae71a7878</t>
  </si>
  <si>
    <t>5b8c5899f2c74f3091708c1e0b4b993e</t>
  </si>
  <si>
    <t>5c3e06907c634dccbc50576341b3e59b</t>
  </si>
  <si>
    <t>5c889de79de147ff8078d3408b8bab92</t>
  </si>
  <si>
    <t>5d366d6e5dcf4362afe174251b84a183</t>
  </si>
  <si>
    <t>5d951de32bfc4a149078ae7ffb2c4043</t>
  </si>
  <si>
    <t>5e2f54536e3f49a7b5c278702be68b80</t>
  </si>
  <si>
    <t>5f06d62c0bd248b284e40a8350ad1fd7</t>
  </si>
  <si>
    <t>5f0fe396a55a449a818ca4edae44a6a2</t>
  </si>
  <si>
    <t>5f7e76d3c41945f08f63fa92fdb8db3d</t>
  </si>
  <si>
    <t>5Є</t>
  </si>
  <si>
    <t>6-14/12</t>
  </si>
  <si>
    <t>615c638ef9a04373b8f2a73f7fda9ea8</t>
  </si>
  <si>
    <t>61a73d84f3664dd28cea746829d05fd6</t>
  </si>
  <si>
    <t>61a88ba2b2994d80a64793ae8d2f1e23</t>
  </si>
  <si>
    <t>61b88c3d23e948f49f7b0c1d83041af7</t>
  </si>
  <si>
    <t>6398</t>
  </si>
  <si>
    <t>64210000-1 Послуги телефонного зв’язку та передачі даних</t>
  </si>
  <si>
    <t>64212100-6 Послуги служби коротких повідомлень (SMS)</t>
  </si>
  <si>
    <t>64220000-4 Телекомунікаційні послуги, крім послуг телефонного зв’язку і передачі даних</t>
  </si>
  <si>
    <t>642653552f3d42f7962f8989b0a0224f</t>
  </si>
  <si>
    <t>64c085a95f734ccbba255a7bf733f5a4</t>
  </si>
  <si>
    <t>64ca925c53404b82bba1c816d232a83b</t>
  </si>
  <si>
    <t>65110000-7 Розподіл води</t>
  </si>
  <si>
    <t>65310000-9 Розподіл електричної енергії</t>
  </si>
  <si>
    <t>65e4bf8353df4be7b242635bab8892a8</t>
  </si>
  <si>
    <t>66510000-8 Страхові послуги</t>
  </si>
  <si>
    <t>66512100-3 Послуги зі страхування від нещасних випадків</t>
  </si>
  <si>
    <t>66515200-5 Послуги зі страхування майна</t>
  </si>
  <si>
    <t>674d49846be440ecbd45edb3936be77e</t>
  </si>
  <si>
    <t>68</t>
  </si>
  <si>
    <t>683e743fe6624c1582d8399fb4c7846f</t>
  </si>
  <si>
    <t>6882f38e230843feab918e7b23590907</t>
  </si>
  <si>
    <t>6899322d263c48e8bcb57c037fb2ce16</t>
  </si>
  <si>
    <t>69</t>
  </si>
  <si>
    <t>691</t>
  </si>
  <si>
    <t xml:space="preserve">691;додаткова Угода №1 </t>
  </si>
  <si>
    <t>692d63e86770451ea89eb03a6497c6de</t>
  </si>
  <si>
    <t>6a5aa02a077449e09bdf52b383f57680</t>
  </si>
  <si>
    <t>6a8778d1fb104b7ead7ca0b08e6d240f</t>
  </si>
  <si>
    <t>6ad8412ae4464a7290c2c3f9fef7427d</t>
  </si>
  <si>
    <t>6bd31c38e8d7453fa423a1f2b12cedb1</t>
  </si>
  <si>
    <t>6c0ffc80aa1c4521a4d492b421d2feb1</t>
  </si>
  <si>
    <t>6c6ff340ca004d89a11e1635cbeca681</t>
  </si>
  <si>
    <t>6ca067a8c85947e9bdbc56984dc5b28d</t>
  </si>
  <si>
    <t>6cd7e7d319a940c4a46273a5063ae2d2</t>
  </si>
  <si>
    <t>6cf1ee92ee634614a0783533e6dd5c00</t>
  </si>
  <si>
    <t>6d2dc6340e0844fab486ca5e419315aa</t>
  </si>
  <si>
    <t>6d72e2e0388b4806821d78ccdb41c9dd</t>
  </si>
  <si>
    <t>6f9f089c9f724f82b855c367d8704ab1</t>
  </si>
  <si>
    <t>6fe296c8a8204445ad0531c80b65b1a0</t>
  </si>
  <si>
    <t>70220000-9 Послуги з надання в оренду чи лізингу нежитлової нерухомості</t>
  </si>
  <si>
    <t>70330000-3 Послуги з управління нерухомістю, надавані на платній основі чи на договірних засадах</t>
  </si>
  <si>
    <t>705a0e55457b44f8a89fad09d3e7a99e</t>
  </si>
  <si>
    <t>70a994cc0a7f4aaabeebb9deea35905b</t>
  </si>
  <si>
    <t>70e0556ab804486e97c2c3cb9cae06de</t>
  </si>
  <si>
    <t>71/11-2020</t>
  </si>
  <si>
    <t>71240000-2 Архітектурні, інженерні та планувальні послуги</t>
  </si>
  <si>
    <t>71242000-6 Підготовка проектів та ескізів, оцінювання витрат</t>
  </si>
  <si>
    <t>71320000-7 Послуги з інженерного проектування</t>
  </si>
  <si>
    <t>71520000-9 Послуги з нагляду за виконанням будівельних робіт</t>
  </si>
  <si>
    <t>71630000-3 Послуги з технічного огляду та випробовувань</t>
  </si>
  <si>
    <t>71cfebf2ae8e4d1b80acc9ee21114182</t>
  </si>
  <si>
    <t>720/07-IE</t>
  </si>
  <si>
    <t>721/07-IE</t>
  </si>
  <si>
    <t>72250000-2 Послуги, пов’язані із системами та підтримкою</t>
  </si>
  <si>
    <t>72260000-5 Послуги, пов’язані з програмним забезпеченням</t>
  </si>
  <si>
    <t>72261000-2 Послуги з обслуговування програмного забезпечення</t>
  </si>
  <si>
    <t>72310000-1 Послуги з обробки даних</t>
  </si>
  <si>
    <t>72320000-4 Послуги, пов’язані з базами даних</t>
  </si>
  <si>
    <t>73/11-2020</t>
  </si>
  <si>
    <t>733741f01946477b8aba589e324ec392</t>
  </si>
  <si>
    <t>7353</t>
  </si>
  <si>
    <t>7354</t>
  </si>
  <si>
    <t>745e3c8361204a20814b2019e450cf05</t>
  </si>
  <si>
    <t>7497e46937514bfb89a464fa8849179c</t>
  </si>
  <si>
    <t>7498a99c6f2440a9ae1c86409b3383a8</t>
  </si>
  <si>
    <t>74a5d639b70343ea9f7b0f67399e7642</t>
  </si>
  <si>
    <t>75781135ec2149298941d4c7ced6ce36</t>
  </si>
  <si>
    <t>772f87174f344133baf3941d263e3158</t>
  </si>
  <si>
    <t>78</t>
  </si>
  <si>
    <t>786</t>
  </si>
  <si>
    <t>7861eafe88524b53a4cb0537aab86244</t>
  </si>
  <si>
    <t>7887c65df4e5472cb90f172822df168d</t>
  </si>
  <si>
    <t>78d51eff26c645e7accab2d73d5077b7</t>
  </si>
  <si>
    <t>79310000-0 Послуги з проведення ринкових досліджень</t>
  </si>
  <si>
    <t>79710000-4 Охоронні послуги</t>
  </si>
  <si>
    <t>79820000-8 Послуги, пов’язані з друком</t>
  </si>
  <si>
    <t>7a72618bb95540a29acf560951a4fe6b</t>
  </si>
  <si>
    <t>7b1ae2e74d994d21a9c4fae09dd7d7a6</t>
  </si>
  <si>
    <t>7bf9a159c8624f59bf052befda0d7a87</t>
  </si>
  <si>
    <t>7ce18a5b5b17465f9f1e50ee84758052</t>
  </si>
  <si>
    <t>7ceb86303ee84d129c166d24420a0847</t>
  </si>
  <si>
    <t>7d396c2beebc4f6e9007f7a057281916</t>
  </si>
  <si>
    <t>7e1118166677451fa25e4d3252ea575f</t>
  </si>
  <si>
    <t>7e3362b837c143148a9dce150202d2ad</t>
  </si>
  <si>
    <t>7ee487d07a354bd4a1c0de1429269bad</t>
  </si>
  <si>
    <t>7f8a10cb79274744bc9c02d862779e38</t>
  </si>
  <si>
    <t>8/07/25.1</t>
  </si>
  <si>
    <t>8/07/25.2</t>
  </si>
  <si>
    <t>80</t>
  </si>
  <si>
    <t>8047ba947ad54109b027bed601ab9c08</t>
  </si>
  <si>
    <t>80510000-2 Послуги з професійної підготовки спеціалістів</t>
  </si>
  <si>
    <t>80511000-9 Послуги з навчання персоналу</t>
  </si>
  <si>
    <t>80550000-4 Послуги з професійної підготовки у сфері безпеки</t>
  </si>
  <si>
    <t>80562000-1 Послуги з професійної підготовки у сфері надання першої медичної допомоги</t>
  </si>
  <si>
    <t>80570000-0 Послуги з професійної підготовки у сфері підвищення кваліфікації</t>
  </si>
  <si>
    <t>80a85072b951474c917209df58dc0690</t>
  </si>
  <si>
    <t>82</t>
  </si>
  <si>
    <t>8214193d58824d82887559f5e4901534</t>
  </si>
  <si>
    <t>821c111300db43afa4a2739bfd2c50c0</t>
  </si>
  <si>
    <t>822e9425002e419eae4fa1f44968bb1f</t>
  </si>
  <si>
    <t>8398167b32db402d8da711e9a7d48ea5</t>
  </si>
  <si>
    <t>84af7e13a1f14c269faca76fce76e739</t>
  </si>
  <si>
    <t>84fb6ead0ade40feaaeaa0e219acef49</t>
  </si>
  <si>
    <t>8523a01f26024637b9f8d754038d0fcb</t>
  </si>
  <si>
    <t>856e6ce0724a41db881e6c032cc1e5df</t>
  </si>
  <si>
    <t>868d595785b846b18dbdd16fd5e54833</t>
  </si>
  <si>
    <t>86a3fa874ff3468b87955c5e7430add6</t>
  </si>
  <si>
    <t>87e7f049cbb14dbebde361d855276fa9</t>
  </si>
  <si>
    <t>88ce2e00828e4c46a8185ff4a642dd56</t>
  </si>
  <si>
    <t>89511b19058741d6bd8c973fc0932232</t>
  </si>
  <si>
    <t>89f02e56eda9461d93920f57a1de5d5d</t>
  </si>
  <si>
    <t>8a53460873984823b60c3dd9771b7028</t>
  </si>
  <si>
    <t>8bbede4b3f12418abb8888c25bb86eb5</t>
  </si>
  <si>
    <t>8c16fd921fd34334a9c3ced03c2cebd0</t>
  </si>
  <si>
    <t>8d169837625d417287b6e884834429d4</t>
  </si>
  <si>
    <t>8d3fd08b3f1e4805b323e4116a48b8c3</t>
  </si>
  <si>
    <t>8d9229db6c4b46b9918b8694dbd9d1ce</t>
  </si>
  <si>
    <t>8e0bc681eb4d4b6390978268af54e4f9</t>
  </si>
  <si>
    <t>8e75ca00d3c84aef8151cffdf57087d9</t>
  </si>
  <si>
    <t>8eddbd10797346bab92aefe68ccb24f7</t>
  </si>
  <si>
    <t>8f5d6f7358534551bb22f95d001d4b57</t>
  </si>
  <si>
    <t>8fb83367858e493184f3d21ff1442ad8</t>
  </si>
  <si>
    <t>8fda8c6dfc0c4b81a9cf93dd6a5fe448</t>
  </si>
  <si>
    <t>8ff8562364004d3797617e3aecfea65b</t>
  </si>
  <si>
    <t>8ffb3e7e1b864ccba64f3d0a89379565</t>
  </si>
  <si>
    <t>90510000-5 Утилізація/видалення сміття та поводження зі сміттям</t>
  </si>
  <si>
    <t>90520000-8 Послуги у сфері поводження з радіоактивними, токсичними, медичними та небезпечними відходами</t>
  </si>
  <si>
    <t>90922000-6 Послуги з боротьби зі шкідниками</t>
  </si>
  <si>
    <t>90c5bff4cb834d2098cb91e28611179a</t>
  </si>
  <si>
    <t>90e794f90f4645d68d65914948019c21</t>
  </si>
  <si>
    <t>91d88a39292e47f9b4523e1b5b98cefd</t>
  </si>
  <si>
    <t>91f51f87bb10472b8ffd3b6ace4158ec</t>
  </si>
  <si>
    <t>92</t>
  </si>
  <si>
    <t>92bcf3c1321a4c45a5600600811d8e47</t>
  </si>
  <si>
    <t>92c72d1f05fd464a9251d6df982ae95b</t>
  </si>
  <si>
    <t>93</t>
  </si>
  <si>
    <t>931a9bb072d444ac9bc5a5f00579708d</t>
  </si>
  <si>
    <t>937b20ad1c7847268b068abf09d580c9</t>
  </si>
  <si>
    <t>94</t>
  </si>
  <si>
    <t>9416e31c877247afa89fe87ee93f2ce4</t>
  </si>
  <si>
    <t>9462fcc551074cebbe1bcedae83f90ac</t>
  </si>
  <si>
    <t>949f610af3c24241b9861249f20ed06e</t>
  </si>
  <si>
    <t>95</t>
  </si>
  <si>
    <t>95-1/2021</t>
  </si>
  <si>
    <t>95-1/22</t>
  </si>
  <si>
    <t>95fc1a3a4bd44118925dedc51df4d882</t>
  </si>
  <si>
    <t>96</t>
  </si>
  <si>
    <t>961</t>
  </si>
  <si>
    <t>964</t>
  </si>
  <si>
    <t>9688197e671c42c58f764c8ef50182e0</t>
  </si>
  <si>
    <t>96d3e6acce5b427ca28b9502f1283836</t>
  </si>
  <si>
    <t>97</t>
  </si>
  <si>
    <t>975aaacb3ffc4e4fae6eb6577cde40de</t>
  </si>
  <si>
    <t>978802d4b0764db0853b802cae0c343f</t>
  </si>
  <si>
    <t>97b693ea32724c3caa806746e61d8333</t>
  </si>
  <si>
    <t>987d85da87a54bd5b0cbfa2e5ccbca15</t>
  </si>
  <si>
    <t>9889029ebbba4ecea07ec10bab14b261</t>
  </si>
  <si>
    <t>991a9942325246209aa5de74798176f8</t>
  </si>
  <si>
    <t>998ce5df5a6847ca84194f6a7b5193f1</t>
  </si>
  <si>
    <t>9ad4bbba5c104bea9e7f21f89aa741eb</t>
  </si>
  <si>
    <t>9bab93f2bdd74442b778061ce9f44bac</t>
  </si>
  <si>
    <t>9bd57efab380468da5b90e0ba9ae1a06</t>
  </si>
  <si>
    <t>9c10b4e7486140769dd8296088eadb1d</t>
  </si>
  <si>
    <t>9cec40a4a665479ab60a6d6037ed1759</t>
  </si>
  <si>
    <t>9d83935e37ae4ee7ae150e098d5cbcd8</t>
  </si>
  <si>
    <t>9ddf80c862794e02a9f3de9174cf74da</t>
  </si>
  <si>
    <t>9de7a75a59084ed19fb21f3597268561</t>
  </si>
  <si>
    <t>9e62e63dbfe54eee899551dc50345bc3</t>
  </si>
  <si>
    <t>9ea75b2258cf4a16845dae117e95741a</t>
  </si>
  <si>
    <t>9f31d3cf53a645b09dbae11eb7b86dc0</t>
  </si>
  <si>
    <t>9f5f557c22064e438d847bc7e8405cfd</t>
  </si>
  <si>
    <t>9f6b2ff496e94e89806005379e53caed</t>
  </si>
  <si>
    <t>ID контракту</t>
  </si>
  <si>
    <t xml:space="preserve">M-Tac кросівки тактичні Leopard R Winter Gen.II Black (розміри: 42,43)
</t>
  </si>
  <si>
    <t xml:space="preserve">M-Tac штани Conquistador Gen.I Flex Black (розміри: 34/34, 30/30) 
</t>
  </si>
  <si>
    <t>a0603df6cc1342d8a32569769f8019c1</t>
  </si>
  <si>
    <t>a1682b6a91ae4ace8f4dd86caaf89c41</t>
  </si>
  <si>
    <t>a19c0bcd4ddd4508bdf95eada2a13c20</t>
  </si>
  <si>
    <t>a1dff72a9857400fb3adcf8be38fe6cb</t>
  </si>
  <si>
    <t>a28114e872104007a2748829af713a55</t>
  </si>
  <si>
    <t>a2db6a39ef224079a3279b4773d2cf2e</t>
  </si>
  <si>
    <t>a3287902a38946d780f1af3e2bd71568</t>
  </si>
  <si>
    <t>a32f843de48c48beb256ecb29cc503d5</t>
  </si>
  <si>
    <t>a32fb85985bf44b6945b52db523c118f</t>
  </si>
  <si>
    <t>a38e50244990435cbeb1e3189e288709</t>
  </si>
  <si>
    <t>a4a149240b1b46c592fcf6bda1bea028</t>
  </si>
  <si>
    <t>a4a1d40ed5fc46d19c81f88e7a2d1d97</t>
  </si>
  <si>
    <t>a4d69a6383c1465c91d8afca9d4f6bea</t>
  </si>
  <si>
    <t>a4e34a3b088c405f8618c6205ea81fb7</t>
  </si>
  <si>
    <t>a504f1aac0c24b1599d1c749f1d2790b</t>
  </si>
  <si>
    <t>a63185b4f596423ea635e9b7241ff4bb</t>
  </si>
  <si>
    <t>a6c67780360245edb9abc2e0f748f3e9</t>
  </si>
  <si>
    <t>a741543e5a294779bd2c1bf9728a714c</t>
  </si>
  <si>
    <t>a7a9c75788b849e2b92a03929c797b4c</t>
  </si>
  <si>
    <t>a886236852b44fcbaf354fe9cce85ddb</t>
  </si>
  <si>
    <t>a97b7ece86464215a5334375c81f181a</t>
  </si>
  <si>
    <t>aa3bb797a27a4a37a507853e3227e241</t>
  </si>
  <si>
    <t>aa64a253b7f8400282ca24acfaa7a192</t>
  </si>
  <si>
    <t>aa6e9613957045879843390107c48d2d</t>
  </si>
  <si>
    <t>aaa77451cd5d49c787817293725c6c65</t>
  </si>
  <si>
    <t>aae02521c0614b428a875d2759abc08a</t>
  </si>
  <si>
    <t>ab74d982c4b64e3092c6e9bce14d8852</t>
  </si>
  <si>
    <t>ac181bb2c81b47539cb75797c127c25c</t>
  </si>
  <si>
    <t>ac86900425a84859a90ca87d1f131a87</t>
  </si>
  <si>
    <t>ad27caac83094a4b9cf9b8ea0ee122f9</t>
  </si>
  <si>
    <t>ad33c6482c254b61b8a3444c020e925d</t>
  </si>
  <si>
    <t>ad83304ff37249f594158cc07ffffee7</t>
  </si>
  <si>
    <t>af1141cd635548a6b2aebda1cebc5c3d</t>
  </si>
  <si>
    <t>af1e38561c07430293efc77302a52ea4</t>
  </si>
  <si>
    <t>af5f3c0395294441ab107b7c0a1641bc</t>
  </si>
  <si>
    <t>b24e921282834051be523b02f16c42c9</t>
  </si>
  <si>
    <t>b25c63637600461d8651f4acf553ac4a</t>
  </si>
  <si>
    <t>b35d4a7663594be7b665f02b22192cbf</t>
  </si>
  <si>
    <t>b39e2a327d8d4f79aa89475765ca386f</t>
  </si>
  <si>
    <t>b4b064324568424c85a71db8d022748b</t>
  </si>
  <si>
    <t>b4fc99c6171e47edb25ccd54f5bceae4</t>
  </si>
  <si>
    <t>b55f66f3bb2e4a9586780b6272e32413</t>
  </si>
  <si>
    <t>b655e5a21c1d431882c90d7cbeecefd7</t>
  </si>
  <si>
    <t>b7970a8222364a72a107b5d99fcf879f</t>
  </si>
  <si>
    <t>b7d4b54eaf3b4275855b2d77dde09b75</t>
  </si>
  <si>
    <t>b7ef16d2a2fb4f80818ba6558b26fa33</t>
  </si>
  <si>
    <t>b82791d7082e41d7b55b149dfae5f44d</t>
  </si>
  <si>
    <t>b899ba5b8a98409d8abea02b77eb1e5c</t>
  </si>
  <si>
    <t>b8ff4f699ebd47848b3f3a6290c2c44b</t>
  </si>
  <si>
    <t>b91f44afa9ea418da812ece3cb022a1b</t>
  </si>
  <si>
    <t>b9d870e493444447bec5d90c60cbf1a0</t>
  </si>
  <si>
    <t>baf9acabcb634611a9099dc6a3135174</t>
  </si>
  <si>
    <t>bc52a67b6a854902bd2c3e82b9227621</t>
  </si>
  <si>
    <t>bc557d9303964d428f058afcba6151a0</t>
  </si>
  <si>
    <t>bda423f2a1ad402b96350b56161a5970</t>
  </si>
  <si>
    <t>be62f7e54b644dcbaa2493907e25db73</t>
  </si>
  <si>
    <t>c022147395054ed4a4647abb01318b0b</t>
  </si>
  <si>
    <t>c0758dbaa44a443480ff5217012a8108</t>
  </si>
  <si>
    <t>c0bb4f22cec746039e710efcab6c262b</t>
  </si>
  <si>
    <t>c0bc12d530644cc5b7009dac1577619b</t>
  </si>
  <si>
    <t>c0c460e0c1884d25b9c72b77f936cabe</t>
  </si>
  <si>
    <t>c0df0d145b2c486f8f7ce4606c4100a5</t>
  </si>
  <si>
    <t>c1675ad6f4ee436b9f942dbcab5f35bc</t>
  </si>
  <si>
    <t>c1be316ea2a149748ba246e9239ee311</t>
  </si>
  <si>
    <t>c1c9ee09913b43ad88744414f3958943</t>
  </si>
  <si>
    <t>c20bcc0d21c74edb928d3611a99faaf4</t>
  </si>
  <si>
    <t>c3a5c72303b94318af7c5a8f1c040c4d</t>
  </si>
  <si>
    <t>c3ba03a5aeb44cf59b44600eb4d7afc4</t>
  </si>
  <si>
    <t>c4104045050d485490885dc1e4680dd2</t>
  </si>
  <si>
    <t>c4596d2683e4467d92cf904f6f681519</t>
  </si>
  <si>
    <t>c4700d11a91c4b3f8aae48432f7bdb22</t>
  </si>
  <si>
    <t>c50002d0ac124ebb9c35600d693d64ec</t>
  </si>
  <si>
    <t>c548474904da45f98556a1277cd4a828</t>
  </si>
  <si>
    <t>c5fe2404e90f4ed7aa179291217b0815</t>
  </si>
  <si>
    <t>c642520cedeb408597cddcfd65c0061e</t>
  </si>
  <si>
    <t>c6fcb6640b304f479ff79e0d831dba6b</t>
  </si>
  <si>
    <t>c710b33a981d4aac974eff265111047a</t>
  </si>
  <si>
    <t>c78a442a17a646278b81b5c91937c706</t>
  </si>
  <si>
    <t>c84b76f2c9ba4566b8162367162a08b4</t>
  </si>
  <si>
    <t>c876758409be4f00b50dffaaa09e22c5</t>
  </si>
  <si>
    <t>c8d0372280764051840aed6ffd4dd6f2</t>
  </si>
  <si>
    <t>c94d34f938df4aa397f908e9453d0803</t>
  </si>
  <si>
    <t>c9b5550d1b7d48649042a3eaf7f6eb87</t>
  </si>
  <si>
    <t>ca17a688c66440f5bb2d26e770e6f053</t>
  </si>
  <si>
    <t>cb18aa0e9c894ccfad830c35cf25a2c3</t>
  </si>
  <si>
    <t>cb985da31b7f4b05bcccdf125c268670</t>
  </si>
  <si>
    <t>cbea322377c84eb7b5548ee83e7dfba0</t>
  </si>
  <si>
    <t>cc01e6ebe0e3490c885ca9e0d9abf81b</t>
  </si>
  <si>
    <t>cc1bfa6b71754dd09c5c3d3a883def95</t>
  </si>
  <si>
    <t>cd0b61cff6c940798e80d8ed803c4170</t>
  </si>
  <si>
    <t>cd3367217be04466bf8966164c8d63ff</t>
  </si>
  <si>
    <t>cdb57d2aa8c348279095bd54185e68ae</t>
  </si>
  <si>
    <t>ce54527bbca74826a93325d2e968435a</t>
  </si>
  <si>
    <t>ceb2d746d140444a8b17f83e5628854f</t>
  </si>
  <si>
    <t>cf05ea01ee4947eba7fff1aec39f23bc</t>
  </si>
  <si>
    <t>cf63a006cf8a4782a26e49586e47a4af</t>
  </si>
  <si>
    <t>d06fa735250241e880e8ea63093f0380</t>
  </si>
  <si>
    <t>d1038bfe3585444687bbbb199868ba62</t>
  </si>
  <si>
    <t>d10dad25efb84f7f96826cf454b37fd1</t>
  </si>
  <si>
    <t>d11ed41d629b4416b3e7eaf58c6cf728</t>
  </si>
  <si>
    <t>d1487fc7e143421ca5fc9d9f664e7fad</t>
  </si>
  <si>
    <t>d14fffc3d4804838b797dbe5a9d4f26f</t>
  </si>
  <si>
    <t>d1edc69bcb874577a144fb79601cac42</t>
  </si>
  <si>
    <t>d2100c9256be42c2845da7f53f27fcaf</t>
  </si>
  <si>
    <t>d26f1eb0ac2d412cb6199ad0c8ef0e73</t>
  </si>
  <si>
    <t>d2a74c9530a74d8bbfa16f17298490a0</t>
  </si>
  <si>
    <t>d318cd2fe85d476fb18dcf554a366f9f</t>
  </si>
  <si>
    <t>d3a55029344a4ba296f215fa3b6eac7e</t>
  </si>
  <si>
    <t>d3d4ecb2a3f343da8095d6c9f77042ae</t>
  </si>
  <si>
    <t>d429a2aa29bb4dce99ca67879b7782a6</t>
  </si>
  <si>
    <t>d500629984f04c50910a01a74e4ada33</t>
  </si>
  <si>
    <t>d55d108bc299408b8e8d48d293893313</t>
  </si>
  <si>
    <t>d5883d3eab5d41b3b7319b1a8914c7e5</t>
  </si>
  <si>
    <t>d73451dbbd2f4ad5a52ea18e38130a31</t>
  </si>
  <si>
    <t>d7f209e108b04c6f9949e68eb887757e</t>
  </si>
  <si>
    <t>d913e7cd241c4646964dd3c17448e784</t>
  </si>
  <si>
    <t>d97bc9f4233b4c2b9ea03f65c37ddeb0</t>
  </si>
  <si>
    <t>dada789b7a024dc38820018033e309b7</t>
  </si>
  <si>
    <t>db61b4b6deb6409298b7165068980d82</t>
  </si>
  <si>
    <t>dc9d1f2974524c20b2287fce9163c58b</t>
  </si>
  <si>
    <t>de8cb5a9981d49efa3ac6eea216e083b</t>
  </si>
  <si>
    <t>de97d55d4b9d420d92011230219855e7</t>
  </si>
  <si>
    <t>debc8f32d99544c9adcbce957fad7807</t>
  </si>
  <si>
    <t>df16873a6da448979ab3c6088514314f</t>
  </si>
  <si>
    <t>df6f17d6569c428a99ea62e00eb49f66</t>
  </si>
  <si>
    <t>e01951c9cf674d6686e2814a01356720</t>
  </si>
  <si>
    <t>e01d84d1168548e9a5caeffb031604d3</t>
  </si>
  <si>
    <t>e178ccdfc117468f9f47bba58ba1c1d9</t>
  </si>
  <si>
    <t>e236ff71463e4f26a74236411dc39213</t>
  </si>
  <si>
    <t>e2b05705288348db8fe662ef62244402</t>
  </si>
  <si>
    <t>e2c4d2d07aac4d4ebfc0446f9d7c9f82</t>
  </si>
  <si>
    <t>e3d22406c9184d539c16542502589dc3</t>
  </si>
  <si>
    <t>e41fa288ffed442abc8d24f51c20c6d2</t>
  </si>
  <si>
    <t>e42c826b559a4e37b099d1a5dd17fd26</t>
  </si>
  <si>
    <t>e43af04dbde84a8d89b128d05316d25f</t>
  </si>
  <si>
    <t>e45cf2b1b21446f2867ed4559ff39f00</t>
  </si>
  <si>
    <t>e4b34a52bb5443f4990902113849d559</t>
  </si>
  <si>
    <t>e4d85d25db3943fbb1fcd2ca027f2974</t>
  </si>
  <si>
    <t>e5769379aa1d428d9a6b3fea2aafbd21</t>
  </si>
  <si>
    <t>e6bc1944c0f34101bcc4748722d3aed9</t>
  </si>
  <si>
    <t>e71f2bc2d0f34740969cbeacbff689f9</t>
  </si>
  <si>
    <t>e769d656cdad4c36bcedae8735130700</t>
  </si>
  <si>
    <t>e76ce756c773418cac4d1addfe38e4d8</t>
  </si>
  <si>
    <t>e7e55fae9ef8439ab6a52739227fe007</t>
  </si>
  <si>
    <t>e9806b73215f478bb1224611c69d6dd1</t>
  </si>
  <si>
    <t>e983419681704dbb88bc86a6b351b079</t>
  </si>
  <si>
    <t>ea12de46f7ad4ba7bd2ce3ae0c36c1c0</t>
  </si>
  <si>
    <t>ea5d3961f15549f5a218e498030e9cd5</t>
  </si>
  <si>
    <t>ea9f3f29767e430286a99d1cc3a9e763</t>
  </si>
  <si>
    <t>eb2d17725e6d43ca8e9f33a01f47d870</t>
  </si>
  <si>
    <t>ebee138ff3c046c287bf547f9fd95ece</t>
  </si>
  <si>
    <t>eddfd2118de94477997fcaf45523ba43</t>
  </si>
  <si>
    <t>edfba2bc9848453b97042b19a98f8f22</t>
  </si>
  <si>
    <t>ee578e2175824eee939c5687a6b55b1b</t>
  </si>
  <si>
    <t>f0ade232a1644a82b31c07ac4d3e582d</t>
  </si>
  <si>
    <t>f0c00c96a0d345eb9abbe62c6fe980e6</t>
  </si>
  <si>
    <t>f106e1a0ae194e44a24de66a11f1a94e</t>
  </si>
  <si>
    <t>f10fb4fd225145508f2a670c958c1bf1</t>
  </si>
  <si>
    <t>f1a8ab7d07614c12811456e1de48f344</t>
  </si>
  <si>
    <t>f1ccdb77d8074f43a0dc473513fa444f</t>
  </si>
  <si>
    <t>f1ee45ed194a47b885c47dee920e590d</t>
  </si>
  <si>
    <t>f273fa4cbf8842ac8013d3d13e890835</t>
  </si>
  <si>
    <t>f296bde8926c4822a6f81164d9c46f33</t>
  </si>
  <si>
    <t>f4c611f63e454375814e1b56edb349af</t>
  </si>
  <si>
    <t>f5ac3f56947c4082950ab2cfeb63ea1c</t>
  </si>
  <si>
    <t>f602f742f4d349f5bc60a592b61720f4</t>
  </si>
  <si>
    <t>f632e3255d414ba0a7e8ca2c8c7d96bb</t>
  </si>
  <si>
    <t>f6367ac40b1740e7a56b8daa711cdd2e</t>
  </si>
  <si>
    <t>f67e5ceeb16b48119660f2dcff13d322</t>
  </si>
  <si>
    <t>f7ed5fc6798f420383ae78cf8a5a4841</t>
  </si>
  <si>
    <t>f806d3c30ff14b988a78da725bd38041</t>
  </si>
  <si>
    <t>f8084c3616bc4a68b6eb8235bf956f82</t>
  </si>
  <si>
    <t>f830d97f90e5444582b49eda487c2ac0</t>
  </si>
  <si>
    <t>f8535fe195c04f8c8ba75ec165400d0e</t>
  </si>
  <si>
    <t>f89cbcf8c1de48e2a20374ec704716d6</t>
  </si>
  <si>
    <t>f8a59558a7224c5ab4f6bb7e4c23f778</t>
  </si>
  <si>
    <t>f8f17dc0dd8041aca9696a0f82ae6045</t>
  </si>
  <si>
    <t>f9656f21b5bc4871a6842fd8f4e2c7e3</t>
  </si>
  <si>
    <t>f969f190d7e54280bacbad3e74ffed23</t>
  </si>
  <si>
    <t>f9e4b1b031f44d169bcef2552bb79c6b</t>
  </si>
  <si>
    <t>fa6a16e3864a43e1a1f77ad2df819e2e</t>
  </si>
  <si>
    <t>fa7c421b1b1745c6a68f56e459807230</t>
  </si>
  <si>
    <t>facdea5bb3554094abaac03c4b87eb32</t>
  </si>
  <si>
    <t>faf54d956ea14c54a213a82c760180c3</t>
  </si>
  <si>
    <t>fb058b15835d457da827b0fe25b14bc4</t>
  </si>
  <si>
    <t>fb18b9cab35f4ed8ba42aac926635649</t>
  </si>
  <si>
    <t>fd541c1058114b3b94c1a2ae06f5a452</t>
  </si>
  <si>
    <t>fd990c1421664ad88bf73c705a80c5f7</t>
  </si>
  <si>
    <t>fdc509e9a1ea4bda9a39d894921009d1</t>
  </si>
  <si>
    <t>fdf1f5ee01da426c9989ad2b89fe8c48</t>
  </si>
  <si>
    <t>fe0a2189741a46bfb7998469c1309cdb</t>
  </si>
  <si>
    <t>fe42bd3ff22947638e755f94c730f13a</t>
  </si>
  <si>
    <t>fe5fe507c90b49f5931a2487790fc6bf</t>
  </si>
  <si>
    <t>fe6c0cea9e1d4dca9d80a19c7feada80</t>
  </si>
  <si>
    <t>fe9cdd4cb69d44cca751fdf3105bb71c</t>
  </si>
  <si>
    <t>ff46317313f54393bea6b3078820880e</t>
  </si>
  <si>
    <t>ЄДРПОУ переможця</t>
  </si>
  <si>
    <t>Євчук Юрій Васильович</t>
  </si>
  <si>
    <t>ІВАНЦОВА НАТАЛІЯ ДМИТРІЇВНА</t>
  </si>
  <si>
    <t>Ідентифікатор договору (Використовується при звітуванні у E-data)</t>
  </si>
  <si>
    <t>Ідентифікатор закупівлі</t>
  </si>
  <si>
    <t>Ідентифікатор лота</t>
  </si>
  <si>
    <t>Індивідуальне обмундирування</t>
  </si>
  <si>
    <t>Інформаційне забезпечення населення міста щодо висвітлення діяльності</t>
  </si>
  <si>
    <t>Інформаційне забезпечення населення міста щодо висвітлення діяльності (надання газетної площі для розміщення інформаційних матеріалів)</t>
  </si>
  <si>
    <t>Інформаційні дошки (стенди)</t>
  </si>
  <si>
    <t>АКЦІОНЕРНЕ ТОВАРИСТВО "УКРТЕЛЕКОМ"</t>
  </si>
  <si>
    <t>АНТОНОВСЬКИЙ ОЛЕКСАНДР СЕРГІЙОВИЧ</t>
  </si>
  <si>
    <t>Агрохімічна продукція</t>
  </si>
  <si>
    <t>Архітектурні , інженерні та планувальні послуги (технічна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область)</t>
  </si>
  <si>
    <t>Архітектурні, інженерні та планувальні послуги (детальне креслення траси)</t>
  </si>
  <si>
    <t>БІРЮКОВ ЮРІЙ АНАТОЛІЙОВИЧ</t>
  </si>
  <si>
    <t>БЕЗНОЩЕНКО ЮРІЙ АНАТОЛІЙОВИЧ</t>
  </si>
  <si>
    <t>БИСТРИЦЬКА СВІТЛАНА ЄВГЕНІЇВНА</t>
  </si>
  <si>
    <t>Будівельні матеріали</t>
  </si>
  <si>
    <t>Будівельні матеріали (блоки газобетонні)</t>
  </si>
  <si>
    <t>Будівельні матеріали (блоки газобетонні,петля точена, мурувальна суміш).</t>
  </si>
  <si>
    <t>Будівельні матеріали (цемент-400)</t>
  </si>
  <si>
    <t xml:space="preserve">Будівництво систем відеоспостереження в м.Южноукраїнськ  в частині Прокладки кабелів ОКТБг від б-р Цвіточний, 9-А,  через Р/М пр. Незалежності, 37 до Р/М пр.  Незалежності, 3, Лінійно-кабельні споруди </t>
  </si>
  <si>
    <t>Будівництво систем відеоспостереження в м.Южноукраїнськ,  в частині Прокладки кабелів ОКТБг від Р/М вул. Миру до Точки №15, Лінійні споруди.</t>
  </si>
  <si>
    <t>Будівництво систем відеоспостереження в м.Южноукраїнськ,  в частині Прокладки кабелів ОКТБг від Р/М вул. Паркова до вул. Спортивна,3; та від Р/М вул. Енергобудівників до Р/М вул. Молодіжна, Лінійно-кабельні споруди.</t>
  </si>
  <si>
    <t>Будівництво систем відеоспостереження в м.Южноукраїнськ,  монтаж та налагодження робочого місця оператора,  станційні споруди в приміщенні поліції за адресом: м.Южноукраїнск ГУНП, вул.Сортивна, 3</t>
  </si>
  <si>
    <t>Будівництво систем відеоспостереження в м.Южноукраїнськ,  на монтаж та налагодження обладнання серверної, станційні споруди,  серверна за адресою: б-р Цвіточний, 9-А</t>
  </si>
  <si>
    <t>Будівництво систем відеоспостереження в м.Южноукраїнськ, в частині прокладки кабелів ОКТБг від Р/М на вул. Дружби Народів до Точки №10. Лінійні споруди.</t>
  </si>
  <si>
    <t>Будівництво систем відеоспостереження в м.Южноукраїнськ, в частині прокладки кабелів ОКТБг від Р/М на вул. Дружби Народів до Точки №11. Лінійні споруди</t>
  </si>
  <si>
    <t>Будівництво систем відеоспостереження в м.Южноукраїнськ, в частині прокладки кабелів ОКТБг від Р/М на пр. Незалежності до Точки №6 та Точки №7, лінійні споруди</t>
  </si>
  <si>
    <t>Будівництво систем відеоспостереження в м.Южноукраїнськ, в частині прокладки кабелів ОКТБг від Р/М пр. Незалежності до Точки №9. Лінійні споруди.</t>
  </si>
  <si>
    <t>ВІдро будівельне 20л</t>
  </si>
  <si>
    <t>ВЕРБА ВІКТОР ВІКТОРОВИЧ</t>
  </si>
  <si>
    <t>ВОЙТКО ВІТА АНАТОЛІЇВНА</t>
  </si>
  <si>
    <t>ВОЛЯНЮК ЛЮБОВ АНДРІЇВНА</t>
  </si>
  <si>
    <t>Виготовлення проекту системи відеоспостереження міста Южноукраїнська</t>
  </si>
  <si>
    <t>Виготовлення робочого проекту «Будівництво лінійно-кабельних споруд системи відеоспостереження в м. Южноукраїнськ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</si>
  <si>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</si>
  <si>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
</t>
  </si>
  <si>
    <t>Виконання комплексу робіт з виготовлення робочого проекту «Будівництво лінійно-кабельних споруд системи відеоспостереження в м. Южноукраїнськ» за адресою: Соборності, буд.1. Зміни до робочого проекту на дообладнання засобами відеоспостереження в існуючої системі відеосостереження).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</si>
  <si>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в м. Южноукраїнськ». </t>
  </si>
  <si>
    <t xml:space="preserve">Виконання комплексу робіт з виготовлення робочого проекту «Будівництво лінійно-кабельних споруд системи відеоспостереження у кабельній каналізації МФ ПАТ "Укртелеком" в м. Южноукраїнськ за адресою: Дружби Народів,48. </t>
  </si>
  <si>
    <t xml:space="preserve">Виконання комплексу робіт з виготовлення робочого проекту «Реконструкція лінійно-кабельних споруд системи відеоспостереження  в м. Южноукраїнськ. </t>
  </si>
  <si>
    <t>Виконання поточного ремонту оптоволоконних ліній зв’язку від перетину вулиць Спортивна та Олімпійська до бульвару Цвіточний, 9 (Серверна)</t>
  </si>
  <si>
    <t>Виконання поточного ремонту оптоволоконних ліній зв’язку від перетину вулиць Спортивна та Паркова до бульвару Цвіточний, 9 (Серверна)</t>
  </si>
  <si>
    <t>Виконання поточного ремонту системи відеоспостереження м. Южноукраїнськ, розташованого за адресою: 
перетин вулиць Олімпійська та Спортивна</t>
  </si>
  <si>
    <t>Виконання поточного ремонту системи відеоспостереження м. Южноукраїнськ, розташованого за адресою: перетин вулиць Паркова та Спортивна</t>
  </si>
  <si>
    <t>Виконання робіт з монтажу та налагодження мережевого обладнання</t>
  </si>
  <si>
    <t>Виконання робіт з монтажу та налагодження системи цифрової телефонії і локальної комп’ютерної мережі, устаткування</t>
  </si>
  <si>
    <t>Виконання робіт з монтажу та налагодження системи цифрової телефонії і локальної комп’ютерної мережі.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</si>
  <si>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за адресою: проспект Соборності,1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</si>
  <si>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Южноукраїнськ) на ділянці: перетин проспектів Незалежності та Соборності.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</si>
  <si>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системи відеоспостереження в м. Южноукраїнськ: роботи з монтажу та налагодження відеокамери високошвидкісної зйомки рухомих об’єктів) за адресою: вулиця Дружби народів,48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</si>
  <si>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відеоспостереження в існуючої системі відеоспостереження в м. Южноукраїнськ: роботи з монтажу та налагодження додаткового робочого місця оператора системи відеоспостереження) за адресою: вул. Дружби Народів, 23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</si>
  <si>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бульвар Цвіточний, 9В.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</si>
  <si>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вул. Дружби Народів, 23.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</si>
  <si>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 </t>
  </si>
  <si>
    <t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вулиця Дружби Народів, 48.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</si>
  <si>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Незалежності, 24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</si>
  <si>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за адресою: проспект Соборності, 8. </t>
  </si>
  <si>
    <t xml:space="preserve">Виконання робіт з нового будівництва лінійно-кабельних споруд систем відеоспостереження у кабельній каналізації МФ ПАТ «Укртелеком» м. Южноукраїнськ (Дообладнання громадських місць засобами відеоспостереженя в існуючої системи відеоспостереження в м. Южноукраїнськ) на ділянці: перетин вулиць Миру та Олімпійської. </t>
  </si>
  <si>
    <t>Відкриті торги</t>
  </si>
  <si>
    <t>Вікна металопластикові</t>
  </si>
  <si>
    <t>Віконний блок металопластиковий розмір 800х1200</t>
  </si>
  <si>
    <t>ГАПУК ВАЛЕНТИНА АНАТОЛІЇВНА</t>
  </si>
  <si>
    <t>ГАРКАВИЙ ВІТАЛІЙ ВОЛОДИМИРОВИЧ</t>
  </si>
  <si>
    <t>ГОРБАНЬ ОЛЕГ ОЛЕКСАНДРОВИЧ</t>
  </si>
  <si>
    <t>ГУБА ОЛЕКСАНДР ВОЛОДИМИРОВИЧ</t>
  </si>
  <si>
    <t>ГУРТОВИЙ ІГОР ВІКТОРОВИЧ</t>
  </si>
  <si>
    <t>ГУЦУ ДЕНИС ОЛЕКСАНДРОВИЧ</t>
  </si>
  <si>
    <t>ДАНИЛЮК СВІТЛАНА МИХАЙЛІВНА</t>
  </si>
  <si>
    <t>ДК 021:2015 – 38340000-0 – Прилади для вимірювання величин
(дозиметр гамма-випромінювання індивідуальний ДКГ-21М (або еквівалент),
дозиметр гамма-випромінювання індивідуальний ДКГ-21(або еквівалент)</t>
  </si>
  <si>
    <t>ДОЧІРНЄ ПІДПРИЄМСТВО "ЕНЕРГОЗБУТ"</t>
  </si>
  <si>
    <t>ДОЧІРНЄ ПІДПРИЄМСТВО ЕЛЕКТРИЧНИХ МЕРЕЖ ПРИВАТНОГО АКЦІОНЕРНОГО ТОВАРИСТВА "АТОМСЕРВІС"</t>
  </si>
  <si>
    <t>ДОЧІРНЄ ПІДПРИЄМСТВО ПУБЛІЧНОГО АКЦІОНЕРНОГО ТОВАРИСТВА "ДЕРЖАВНА АКЦІОНЕРНА КОМПАНІЯ "ЛІКИ УКРАЇНИ" АПТЕКА №6</t>
  </si>
  <si>
    <t>ДУ№1доДог28від17.05.21</t>
  </si>
  <si>
    <t xml:space="preserve">ДУ№2 Д№80від02.02.2022 </t>
  </si>
  <si>
    <t>ДУ№2 Д№82від02.02.2022</t>
  </si>
  <si>
    <t>Дата закінчення договору:</t>
  </si>
  <si>
    <t>Дата підписання договору:</t>
  </si>
  <si>
    <t>Добровільне страхування від нещасних випадків</t>
  </si>
  <si>
    <t>Добровільне страхування майна</t>
  </si>
  <si>
    <t>Договір купівлі-продажу Папір для друку</t>
  </si>
  <si>
    <t>Договір на закупівлю канцелярських товарів</t>
  </si>
  <si>
    <t>Договір про надання телекомунікаційних послуг споживачам, які здійснюють їх закупівлю за державні кошти</t>
  </si>
  <si>
    <t>ДодУг№1;Дог№31-05/2021</t>
  </si>
  <si>
    <t>ДодУг№1до ДОг1/14/2021</t>
  </si>
  <si>
    <t>ДодУг№1до Договору№147</t>
  </si>
  <si>
    <t>ДодУг№2від15.1/04-2021від15.04.2021</t>
  </si>
  <si>
    <t>ДодУг№2до дог№1/15/2021</t>
  </si>
  <si>
    <t>ДодУг№3доДог№95-1/2021</t>
  </si>
  <si>
    <t>Дозиметр гамма-випромінювання індивідуальний ДКГ-21М (або вказати назву  еквіваленту); Дозиметр гамма-випромінювання індивідуальний ДКГ-21 (або вказати назву  еквіваленту)</t>
  </si>
  <si>
    <t>Експлуатаційні  послуги, пов"язані з утриманням будинків і споруд та прибудинкових територій за адресою : бульвар Цвіточний, 9</t>
  </si>
  <si>
    <t>Експлуатаційні  послуги, пов"язані з утриманням будинків і споруд та прибудинкових територій за адресою : бульвар Цвіточний, 9 (Утилізація/видалення сміття, захоронення ТПВ)</t>
  </si>
  <si>
    <t>Електричні інструменти</t>
  </si>
  <si>
    <t>Електричні інструменти (перфоратор, зварювальний апарат, циркулярна пила та інше)</t>
  </si>
  <si>
    <t>ЖАКУЛІН ЮРІЙ ОЛЕКСАНДРОВИЧ</t>
  </si>
  <si>
    <t>ЗАРОСЛИНСЬКИЙ СЕРГІЙ МИХАЙЛОВИЧ</t>
  </si>
  <si>
    <t>ЗУБОВСЬКА НАТАЛЯ ВЯЧЕСЛАВІВНА</t>
  </si>
  <si>
    <t xml:space="preserve">Закупівля агрохімічної продукції (антисептик з дозуючим пристроєм)
</t>
  </si>
  <si>
    <t>Закупівля багатофункціонального пристрію KYOCERA ECOSYS M5521CDW</t>
  </si>
  <si>
    <t>Закупівля без використання електронної системи</t>
  </si>
  <si>
    <t>Закупівля жалюзів вертикальних</t>
  </si>
  <si>
    <t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</t>
  </si>
  <si>
    <t xml:space="preserve">Закупівля комплекту з індивідуальними дозиметрами та програмного забезпечення для аварійного дозиметричного комплекту з індивідуальними дозиметрами (дозиметр гамма-випромінення індивідуальний ДКГ-21, дзиметр гамма-випромінення індивідуальний ДКГ-21М, дозиметр-радіометр МКС-05 «ТЕРРА» - О,радіометр-дозиметр гамма-бета-випромінювання РКС-01 «СТОРА-ТУ», 			
програмне забезпечення "Програмування і дозиметричний контроль ПДК Екомонітор" УКТ ЗЕД 9030 10 00 00)
</t>
  </si>
  <si>
    <t>Закупівля питної очищеної води</t>
  </si>
  <si>
    <t>Замки, ключі та петлі (Ручка дверна)</t>
  </si>
  <si>
    <t>Засіб антисептичний АХД 2000 експрес</t>
  </si>
  <si>
    <t>Звіт створено 10 серпня о 14:21 з використанням http://zakupki.prom.ua</t>
  </si>
  <si>
    <t>Знаряддя</t>
  </si>
  <si>
    <t>Знаряддя (бур, зубило и т.д.)</t>
  </si>
  <si>
    <t>Знищувач документів (шредер)</t>
  </si>
  <si>
    <t>Знищувач документів (шредер) AGENT 117x(4x20)</t>
  </si>
  <si>
    <t>КАЗЕННЕ ПІДПРИЄМСТВО "УКРСПЕЦЗВ'ЯЗОК"</t>
  </si>
  <si>
    <t>КАЛІНІНА ЮЛІЯ МИХАЙЛІВНА</t>
  </si>
  <si>
    <t>КАРАКАЗОВА ЮЛІЯ МИХАЙЛІВНА</t>
  </si>
  <si>
    <t>КАРАКОЗОВА ЮЛІЯ МИХАЙЛІВНА</t>
  </si>
  <si>
    <t>КОЛЬЧАК ЛЮДМИЛА ОЛЕКСАНДРІВНА</t>
  </si>
  <si>
    <t>КОМУНАЛЬНЕ КНИГОТОРГОВЕЛЬНЕ ПІДПРИЄМСТВО "КОБЗАР"</t>
  </si>
  <si>
    <t>КОМУНАЛЬНЕ КНИГОТОРГОВЕЛЬНЕ ПІДПРИЄМСТВО "КОБЗАР" ЮЖНОУКРАЇНСЬКОЇ МІСЬКОЇ РАДИ</t>
  </si>
  <si>
    <t>КОМУНАЛЬНЕ НЕКОМЕРЦІЙНЕ ПІДПРИЄМСТВО "МИКОЛАЇВСЬКИЙ ОБЛАСНИЙ ЦЕНТР ЕКСТРЕНОЇ МЕДИЧНОЇ ДОПОМОГИ ТА МЕДИЦИНИ КАТАСТРОФ" МИКОЛАЇВСЬКОЇ ОБЛАСНОЇ РАДИ</t>
  </si>
  <si>
    <t>КОМУНАЛЬНЕ ПІДПРИЄМСТВО "БЮРО ТЕХНІЧНОЇ ІНВЕНТАРИЗАЦІЇ МІСТА ЮЖНОУКРАЇНСЬКА"</t>
  </si>
  <si>
    <t>КОМУНАЛЬНЕ ПІДПРИЄМСТВО "ЖИТЛОВО-ЕКСПЛУАТАЦІЙНЕ ОБ'ЄДНАННЯ"</t>
  </si>
  <si>
    <t>КОМУНАЛЬНЕ ПІДПРИЄМСТВО "СЛУЖБА КОМУНАЛЬНОГО ГОСПОДАРСТВА"</t>
  </si>
  <si>
    <t>КОМУНАЛЬНЕ ПІДПРИЄМСТВО "ТЕПЛОПОСТАЧАННЯ ТА ВОДО-КАНАЛІЗАЦІЙНЕ ГОСПОДАРСТВО"</t>
  </si>
  <si>
    <t>КОРЖОВСЬКА ОЛЬГА АНАТОЛІЇВНА</t>
  </si>
  <si>
    <t>КОЧЕРЖИНСЬКИЙ ОЛЕКСАНДР ВІТАЛІЙОВИЧ</t>
  </si>
  <si>
    <t>КРАСНОСЕЛЬСЬКИЙ СЕРГІЙ ГРИГОРОВИЧ</t>
  </si>
  <si>
    <t>КРАСОВСЬКА РАЇСА ІВАНІВНА</t>
  </si>
  <si>
    <t>КРЮЧКОВ ВАДИМ АНАТОЛІЙОВИЧ</t>
  </si>
  <si>
    <t>Код CPV</t>
  </si>
  <si>
    <t>Козунь Олексій Вікторович</t>
  </si>
  <si>
    <t>Комплекс робіт з виготовлення проекту системи відеоспостереження  міста Южноукраїнська</t>
  </si>
  <si>
    <t>Комплект мотора підвісного лодочного</t>
  </si>
  <si>
    <t>Комплект мотора підвісного лодочного МЕ  Mercury F5</t>
  </si>
  <si>
    <t>Конструкційні матеріали</t>
  </si>
  <si>
    <t>Красовська Раїса Іванівна</t>
  </si>
  <si>
    <t>Лікарські препарати</t>
  </si>
  <si>
    <t>МІЛЕШКО ІРИНА ПЕТРІВНА</t>
  </si>
  <si>
    <t>МИКОЛАЇВСЬКА ДИРЕКЦІЯ АКЦІОНЕРНОГО ТОВАРИСТВА "УКРПОШТА"</t>
  </si>
  <si>
    <t>МИКОЛАЇВСЬКА ФІЛІЯ ПУБЛІЧНОГО АКЦІОНЕРНОГО ТОВАРИСТВА "УКРТЕЛЕКОМ"</t>
  </si>
  <si>
    <t>МИКОЛАЇВСЬКЕ ОБЛАСНЕ СПЕЦІАЛІЗОВАНЕ РЕМОНТНО-БУДІВЕЛЬНЕ ПІДПРИЄМСТВО ПРОТИПОЖЕЖНИХ РОБІТ ДОБРОВІЛЬНОГО ПОЖЕЖНОГО ТОВАРИСТВА УКРАЇНИ</t>
  </si>
  <si>
    <t>МОВЕНКО СЕРГІЙ МИКОЛАЙОВИЧ</t>
  </si>
  <si>
    <t>МОЛОКОВ ВЛАДИСЛАВ СТАНІСЛАВОВИЧ</t>
  </si>
  <si>
    <t>МП-00000009</t>
  </si>
  <si>
    <t>МП-00004091</t>
  </si>
  <si>
    <t>Маска захисна паяна, рукавички латексні нестерильні</t>
  </si>
  <si>
    <t>Медичне обладнання, фармацевтична продукція та засоби особистої гігієни</t>
  </si>
  <si>
    <t>Медичне обладнання, фармацевтична продукція та засоби особистої гігієни( засіб для дезінфекції рук, маски медичні, спирт етиловий)</t>
  </si>
  <si>
    <t>Медичні матеріали</t>
  </si>
  <si>
    <t>Медичні матеріали.</t>
  </si>
  <si>
    <t>Медичні матеріали: маска 3-шарова на резинках паяна з носиком</t>
  </si>
  <si>
    <t>Миколаївська філія ПАТ "Укртелеком"</t>
  </si>
  <si>
    <t>Монтаж та налагодження  системи цифрової телефонії  за адресою: м.Южноукраїнськ, вул. Дружби Народів, 23</t>
  </si>
  <si>
    <t>Монтаж та налагодження  системи цифрової телефонії  за адресою: м.Южноукраїнськ, вул. Дружби Народів, 48</t>
  </si>
  <si>
    <t>Монтаж та налагодження системи цифрової телефонії за адресою: м.Южноукраїнськ, бульвар Цвіточний, 9</t>
  </si>
  <si>
    <t>НАВЧАЛЬНО-МЕТОДИЧНИЙ ЦЕНТР ЦИВІЛЬНОГО ЗАХИСТУ ТА БЕЗПЕКИ ЖИТТЄДІЯЛЬНОСТІ МИКОЛАЇВСЬКОЇ ОБЛАСТІ</t>
  </si>
  <si>
    <t>НВПП "Спаринг-Віст Центр</t>
  </si>
  <si>
    <t>На виконання робіт з авторського нагляду</t>
  </si>
  <si>
    <t>На виконання робіт та надання послуг (перезарядка вогнегасників)</t>
  </si>
  <si>
    <t>На відшкодування витрат балансоутримувача на утримання нерухомого майна та надання комунальних послуг орендарю</t>
  </si>
  <si>
    <t>На закупівлю знаків поштової оплати (Марки)</t>
  </si>
  <si>
    <t>На закупівлю канцелярських товарів</t>
  </si>
  <si>
    <t>На закупівлю нарукавних пов'язок "Охорона порядку"</t>
  </si>
  <si>
    <t>На закупівлю офісного устаткування (біндер ниткошвейний,168-А)</t>
  </si>
  <si>
    <t>На закупівлю паперу для друку</t>
  </si>
  <si>
    <t>На здійснення технічного нагляду</t>
  </si>
  <si>
    <t>На надання послуг з навчання у сфері здійснення публічних закупівель</t>
  </si>
  <si>
    <t>На надання послуг з навчання у сфері здійснення публічних закупівель (послуги з професійної підготовки спеціалістів)</t>
  </si>
  <si>
    <t>На оплату послуг з обслуговування автомобільним транспортом</t>
  </si>
  <si>
    <t>На послуги з реєстрації користувача програмного продукту "АІС "Місцеві бюджети рівня розпорядника бюджетних коштів"</t>
  </si>
  <si>
    <t>На послуги у сфері інформатизації:інформаційно-консультативні послуги з питань адміністрування (обслуговування ) програмного забезпечення</t>
  </si>
  <si>
    <t>На придбання матеріалів</t>
  </si>
  <si>
    <t>На придбання інформаційної продукції (стендів та плакатів)</t>
  </si>
  <si>
    <t>Надання електронних комунікаційних послуг споживачам (послуги телефонного зв'язку та передачі даних)</t>
  </si>
  <si>
    <t>Надання послгу з навчання персоналу</t>
  </si>
  <si>
    <t xml:space="preserve">Надання послуг з експлуатаційно-технічного обслуговування апаратури та інших технічних засобів оповіщення і зв’язку цивільного захисту </t>
  </si>
  <si>
    <t>Надання послуг з експлуатаційно-технічного обслуговування апаратури та інших технічних засобів оповіщення і зв’язку цивільного захисту за ДК 021:2015 "50324100-3" Послуги з технічного обслуговування систем</t>
  </si>
  <si>
    <t>Надання послуг з експлуатаційно-технічного обслуговування апаратури і технічних засобів оповіщення цивільного захисту</t>
  </si>
  <si>
    <t xml:space="preserve">Надання послуг з навчання персоналу </t>
  </si>
  <si>
    <t>Надання послуг з обслуговування програмного забезпечення системи відеоспостереження в м. Южноукраїнськ за ДК 021:2015 72261000-2 Послуги з обслуговування програмного забезпечення</t>
  </si>
  <si>
    <t>Надання послуг з поводження з побутовими відходами</t>
  </si>
  <si>
    <t>Надання послуг з розподілу (передачі) електричної енергії (Рятувальний пост, за адресою: вул.Набережна Енергетиків 20а)</t>
  </si>
  <si>
    <t>Надання послуг з розподілу (передачі) електричної енергії (Рятувальний пост, за адресою: вулиця Набережна Енергетиків, 20а )</t>
  </si>
  <si>
    <t xml:space="preserve">Надання послуг з розподілу (передачі) електричної енергії (Рятувальний пост, за адресою: вулиця Набережна Енергетиків, 20а )
</t>
  </si>
  <si>
    <t>Надання послуг з розподілу (передачі) електричної енергії (офісні приміщення управління та обладнання системи відеоспостереження)</t>
  </si>
  <si>
    <t xml:space="preserve">Надання послуг з розподілу (передачі) електричної енергії (офісні приміщення управління та обладнання системи відеоспостереження)
</t>
  </si>
  <si>
    <t xml:space="preserve">Надання послуг з технічного обслуговування 
системи відеоспостереження
</t>
  </si>
  <si>
    <t>Надання послуг з технічного обслуговування лінійно-кабельних систем відеоспостереження м.Южноукраїнськ за ДК 021:2015 50331000-4 Послуги з ремонту і технічного ослуговування ліній телекомунікацій.</t>
  </si>
  <si>
    <t>Надання послуг з технічного обслуговування і ремонт офісної техніки та перезарядка картриджів</t>
  </si>
  <si>
    <t>Надання послуг на виготовлення проєкту землеустрою щодо відведення земельної ділянки комунальної власності в постійне користування(під розміщення та обслуговування бази стоянки рятувальних човнів)</t>
  </si>
  <si>
    <t>Надання послуг на виготовлення технічної документації із землеустрою щодо встановлення меж частини земельної ділянки комунальної власності, на яку поширюється право суборенди, сервітуту  в бестрокове користування (під розміщення та обслуговування бази стоянки для швартування, випуску у плавання малих рятувальних човнів)</t>
  </si>
  <si>
    <t>Надання послуг на вимірювання опору ізоляції електропроводки на рятувальному посту міського пляжу</t>
  </si>
  <si>
    <t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</t>
  </si>
  <si>
    <t xml:space="preserve">Надання послуги з проектування	(розробка проекту «Будівництво місцевої автоматизованої системи централізованого оповіщення м. Южноукраїнськ Миколаївської області»)
</t>
  </si>
  <si>
    <t>Надання послуги з технічного обслуговування системи відеоспостереження в м.Южноукраїнськ (ДК 021:2015 50343000-1 Послуги з ремонту і технічного обслуговування відеообладнання</t>
  </si>
  <si>
    <t>Надання транспортних послуг</t>
  </si>
  <si>
    <t xml:space="preserve">Надання транспортних послуг </t>
  </si>
  <si>
    <t>Налдання послуг з професійної підготовки спеціалістів (послуги щодо організації навчання на курсах "Публічні закупівлі в Україні"</t>
  </si>
  <si>
    <t>Намети УСБ 56 + піч армійська ПОВ 57</t>
  </si>
  <si>
    <t>Нафта і дистилятори (ПММ)</t>
  </si>
  <si>
    <t>Нафта і дистилятори (ПММ), Бензин АИ-95</t>
  </si>
  <si>
    <t>Немає лотів</t>
  </si>
  <si>
    <t>Нове будівництво місцевої автоматизованої системи централізованого оповіщення м. Южноукраїнськ Миколаївської області</t>
  </si>
  <si>
    <t xml:space="preserve">Нове будівництво місцевої автоматизованої системи централізованого оповіщення м. Южноукраїнськ Миколаївської області
</t>
  </si>
  <si>
    <t>Нове будівництво місцевої автоматизованої системи централізованого оповіщення м. Южноукраїнськ Миколаївської області (сільські території Южноукраїнської міської територіальної громади)</t>
  </si>
  <si>
    <t>Номер договору</t>
  </si>
  <si>
    <t>ОДЕСЬКА ФІЛІЯ АКЦІОНЕРНОГО ТОВАРИСТВА "УКРТЕЛЕКОМ"</t>
  </si>
  <si>
    <t xml:space="preserve">Оренда майна (технологічних приміщень)  </t>
  </si>
  <si>
    <t>Оренда нерухомого майна (приміщення)</t>
  </si>
  <si>
    <t>Оренда транспортного засобу</t>
  </si>
  <si>
    <t>Офісна мебля: стіл ОМ100.</t>
  </si>
  <si>
    <t>ПІРОГ ЄВГЕН ВОЛОДИМИРОВИЧ</t>
  </si>
  <si>
    <t>ПІРОГ ВОЛОДИМИР ВОЛОДИМИРОВИЧ</t>
  </si>
  <si>
    <t>ПАТ "Страхова компанія "Євроінс Україна"</t>
  </si>
  <si>
    <t>ПОЛУПАНЕНКО МАКСИМ МИКОЛАЙОВИЧ</t>
  </si>
  <si>
    <t>ПРИВАТНЕ АКЦІОНЕРНЕ ТОВАРИСТВО "СТРАХОВА КОМПАНІЯ "ЄВРОІНС УКРАЇНА"</t>
  </si>
  <si>
    <t>ПРИВАТНЕ ПІДПРИЄМСТВО "БІЗНЕС СФЕРА"</t>
  </si>
  <si>
    <t>ПРИВАТНЕ ПІДПРИЄМСТВО "ЕДІТБУК"</t>
  </si>
  <si>
    <t>ПРИВАТНЕ ПІДПРИЄМСТВО "НАУКОВО-ВИРОБНИЧЕ ПРИВАТНЕ ПІДПРИЄМСТВО "СПАРИНГ-ВІСТ ЦЕНТР"</t>
  </si>
  <si>
    <t>ПРИВАТНЕ ПІДПРИЄМСТВО "РЕДАКЦІЯ ГАЗЕТИ "КОНТАКТ"</t>
  </si>
  <si>
    <t>ПРО ЗАКУПІВЛЮ ТОВАРІВ (ПРОДУКЦІЯ ДЛЯ ЧИЩЕННЯ)</t>
  </si>
  <si>
    <t>ПУБЛІЧНЕ АКЦІОНЕРНЕ ТОВАРИСТВО "МОНФАРМ"</t>
  </si>
  <si>
    <t>ПУБЛІЧНЕ АКЦІОНЕРНЕ ТОВАРИСТВО "УКРТЕЛЕКОМ"</t>
  </si>
  <si>
    <t xml:space="preserve">Папір А4 крейдований глянцевий </t>
  </si>
  <si>
    <t xml:space="preserve">Папір глянцевий </t>
  </si>
  <si>
    <t xml:space="preserve">Папір для друку </t>
  </si>
  <si>
    <t xml:space="preserve">Папір для друку (Папір офісний А-4) </t>
  </si>
  <si>
    <t>Папір офісний Smart Line Euro OFFICE A4 80 гр/м,
500 арк.,папір офісний Maestro Standart A4 80 гр/м, 500 арк. (для виготовлення інформаційної продукції)</t>
  </si>
  <si>
    <t>Переговорна процедура</t>
  </si>
  <si>
    <t>Передплата періодичних видань (газети)</t>
  </si>
  <si>
    <t>Переможець (назва)</t>
  </si>
  <si>
    <t>Пластмасові вироби</t>
  </si>
  <si>
    <t>Побудова мережі ВОЛС та СВН на об’єкті за адресою: м.Южноукраїнськ, Точка №3 та Точка №4, в частині Прокладки кабелів ОКТБг від Р/М на пр. Незалежності через Р/М вул. Миру до Точки №3  та Товчки №4. Лінійні споруди</t>
  </si>
  <si>
    <t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</t>
  </si>
  <si>
    <t xml:space="preserve">Побудова мережі ВОЛС та СВН на об’єкті за адресою: м.Южноукраїнськ. 
Точка №12 та Точка №13 в частині прокладки кабелів ОКТБг від Р/М пр. Незалежності через Р/М пр. Соборності до Точки №12 та Точки №13. Лінійні споруди.
</t>
  </si>
  <si>
    <t xml:space="preserve">Побудова мережі ВОЛС та СВН на об’єкті за адресою: м.Южноукраїнськ. 
Точка №5 та Точка №8  в частині прокладки кабелів ОКТБг від Р/М пр. Незалежності до Точки №5 та Точки №8. Лінійні споруди.  
</t>
  </si>
  <si>
    <t>Побудова мережі ВОЛС та СВН на об’єкті за адресою: м.Южноукраїнськ. Точка №1 та Точка №2 в частині прокладки кабелів ОКТБг від Р/М пр. Незалежності через Р/М вул. Миру до Точки №1 та Точки №2. Лінійні споруди</t>
  </si>
  <si>
    <t>Побудова мережі волоконно-оптичної лінії зв’язку та системи відео-нагляду (ВОЛС та СВН) на об’єкті за адресою: м.Южноукраїнськ, Точка №14, в частині прокладки кабелів ОКТБг від Р/М пр. Незалежності до Точки №14, лінійні споруди</t>
  </si>
  <si>
    <t>Послуга з постачання примірника та пакетів оновлень (компонент) комп’ютерної програми "М.Е.Doc" Модуль "Звітінсть" (мережева версія).</t>
  </si>
  <si>
    <t xml:space="preserve">Послуга з спостереження за ручними системами тривожної сигналізації, що встановлені  на обєктах, з реагуванням наряду поліції охорони </t>
  </si>
  <si>
    <t>Послуги боротьби зі шкідниками (дератизація)</t>
  </si>
  <si>
    <t>Послуги з боротьби зі шкідниками (дератизація)</t>
  </si>
  <si>
    <t>Послуги з надання в користування чи лізингу нежитлової нерухомості (Про надання в користування нерухомого майна (технологічні приміщення) ПАТ "Укртелеком" для розміщення обладнання оповіщення)</t>
  </si>
  <si>
    <t xml:space="preserve">Послуги з обслуговування програмного забезпечення системи відеоспостереження в  м. Южноукраїнськ 
</t>
  </si>
  <si>
    <t>Послуги з обслуговування програмного забезпечення системи відеоспостереження в м. Южноукраїнську</t>
  </si>
  <si>
    <t>Послуги з проведення ринкових досліджень (проведення незалежної оцінки)</t>
  </si>
  <si>
    <t>Послуги з професійної підготовки у сфері підвищення кваліфікації (курси"Правові та практичні аспекти публічних закупівель в Україні"</t>
  </si>
  <si>
    <t xml:space="preserve">Послуги з ремонту і технічного обслуговування вимірювальних, випробувальних і контрольних приладів» </t>
  </si>
  <si>
    <t>Послуги з ремонту і технічного обслуговування вимірювальних, випробувальних і контрольних приладів» (Технічне обслуговування, організація та проведення повірки аналізатора парів спирту)</t>
  </si>
  <si>
    <t xml:space="preserve">Послуги з ремонту і технічного обслуговування обладнання системи відеоспостереження в м. Южноукраїнськ </t>
  </si>
  <si>
    <t xml:space="preserve">Послуги з ремонту і технічного обслуговування обладнання системи відеоспостереження в м. Южноукраїнськ 
</t>
  </si>
  <si>
    <t>Послуги з ремонту і технічного обслуговування протипожежного обладнання</t>
  </si>
  <si>
    <t>Послуги з ремонту і технічного обслуговування протипожежного обладнання (перезарядка вуглекислотних та порошкових вогнегасників)</t>
  </si>
  <si>
    <t>Послуги з реєстрації користувача програмного продукту "АІС"Місцеві бюджети рівня розпорядника бюджетних коштів"</t>
  </si>
  <si>
    <t xml:space="preserve">Послуги з технічного обслуговування лінійно-кабельних споруд системи відеоспостереження в м. Южноукраїнськ </t>
  </si>
  <si>
    <t xml:space="preserve">Послуги з технічного обслуговування лінійно-кабельних споруд системи відеоспостереження в м. Южноукраїнськ 
</t>
  </si>
  <si>
    <t>Послуги з технічного обслуговування лінійно-кабельних споруд системи відеоспостереження м. Южноукраїнськ</t>
  </si>
  <si>
    <t>Послуги з технічного обслуговування місцевої автоматизованої системи централізованого оповіщення м. Южноукраїнськ Миколаївської області</t>
  </si>
  <si>
    <t xml:space="preserve">Послуги з технічного обслуговування місцевої автоматизованої системи централізованого оповіщення м. Южноукраїнськ Миколаївської області
</t>
  </si>
  <si>
    <t>Послуги з технічного обслуговування обладнання системи відеоспостереження в м. Южноукраїнську</t>
  </si>
  <si>
    <t>Послуги з технічного обслуговування протипожежного обладнання (перезарядження та комплектування вуглекислотних, порошкових вогнегасників)</t>
  </si>
  <si>
    <t xml:space="preserve">Послуги з технічного обслуговування системи відеоспостереження в м. Южноукраїнськ </t>
  </si>
  <si>
    <t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</t>
  </si>
  <si>
    <t xml:space="preserve">Послуги з технічного обслуговування системи відеоспостереження в м. Южноукраїнськ (ДК 021:2015 50343000-1 Послуги з ремонту і технічного обслуговування відеообладнання), </t>
  </si>
  <si>
    <t xml:space="preserve">Послуги з централізованої охорони майна на об'єкті з реагуванням наряду поліції охорони
</t>
  </si>
  <si>
    <t>Послуги з централізованої охорони майна на об'єкті з реагуванням наряду поліції охорони по бул. Цвіточному, 9 в м. Южноукраїнськ</t>
  </si>
  <si>
    <t>Послуги зі спостереження за ручними системами тривожної сигналізації, що встановлені на об'єктах з реагуванням наряду поліції охорони</t>
  </si>
  <si>
    <t xml:space="preserve">Послуги зі спостереження за ручними системами тривожної сигналізації, що встановлені на об'єктах з реагуванням наряду поліції охорони
</t>
  </si>
  <si>
    <t>Послуги зі страхування від нещасних випадків матросів-рятувальників</t>
  </si>
  <si>
    <t>Послуги зі страхування майна</t>
  </si>
  <si>
    <t>Послуги зі страхування майна (орендовані приміщення офісу)</t>
  </si>
  <si>
    <t>Послуги по перезарядженню та комплектуванню вогнегасників</t>
  </si>
  <si>
    <t>Послуги постачання примірника та пакетів оновлень (компонент) комп*ютерної програми "М.Е.Doc"</t>
  </si>
  <si>
    <t>Послуги про централізовану охорону майна на обєкті з реагуванням наряду поліції охорони</t>
  </si>
  <si>
    <t xml:space="preserve">Послуги у сфері поводження з радіоактивними, токсичними, медичними та небезпечними відходами </t>
  </si>
  <si>
    <t>Послуги у сфері поводження з радіоактивними, токсичними, медичними та небезпечними відходами (утилізація люмінесцентних ламп)</t>
  </si>
  <si>
    <t>Послуги у сфері інформатизації: інформаційно-консультативні послуги з питань обслуговування Програмного забещпечення</t>
  </si>
  <si>
    <t>Поставка періодичних друкованих видань на умовах передплати</t>
  </si>
  <si>
    <t>Поставка періодичних друкованих видань на умовах передплати (Журнал "Кадровик")</t>
  </si>
  <si>
    <t>Поставка препаратів стабільного йоду - калію йодиду</t>
  </si>
  <si>
    <t>Поставка препаратів стабільного йоду - калію йодиду, у дозуванні 0,25 г діючої речовини в одній таблетці № 10, за ДК 021:2015“33600000-6” – Фармацевтична продукція</t>
  </si>
  <si>
    <t>Постачання електричної енергії ( офісні приміщення управління та обладнання системи відеоспостереження)</t>
  </si>
  <si>
    <t>Постачання електричної енергії (Рятувальний пост, за адресою вул.набережна Енергетиків, 20 а)</t>
  </si>
  <si>
    <t>Постачання електричної енергії (Рятувальний пост, за адресою: вулиця Набережна Енергетиків, 20а)</t>
  </si>
  <si>
    <t xml:space="preserve">Постачання електричної енергії (Рятувальний пост, за адресою: вулиця Набережна Енергетиків, 20а)
</t>
  </si>
  <si>
    <t>Постачання електричної енергії (офісні приміщення управління та обладнання системи відеоспостереження)</t>
  </si>
  <si>
    <t xml:space="preserve">Постачання електричної енергії (офісні приміщення управління та обладнання системи відеоспостереження)
</t>
  </si>
  <si>
    <t xml:space="preserve">Постачання теплової енергії </t>
  </si>
  <si>
    <t>Поточний ремонт обладнання системи відеоспостереження в м.Южноукраїнськ</t>
  </si>
  <si>
    <t>Поточний ремонт обладнання системи відеоспостереження в м.Южноукраїнськ, встановленого на даху будинку№1 по проспекту Соборності та на опорі біля будинку 1 по проспекту Соборності</t>
  </si>
  <si>
    <t>Предмет закупівлі</t>
  </si>
  <si>
    <t>Придбання бактерицидних опромінювачів.</t>
  </si>
  <si>
    <t>Придбання видання (передплата) журналу "Радник у сфері державних закупівель"(Е-журнал і друкований журнал)</t>
  </si>
  <si>
    <t>Придбання деревини</t>
  </si>
  <si>
    <t>Придбання комп’ютера у складі ( системний блок та монітор)</t>
  </si>
  <si>
    <t>Придбання конструкційних матеріалів (труби профільні, швелери)</t>
  </si>
  <si>
    <t>Придбання наметів УСБ-56 та опалювальних пічей</t>
  </si>
  <si>
    <t>Придбання профільних труб</t>
  </si>
  <si>
    <t>Придбання півмаски фільтрувальної "БУК-3К"</t>
  </si>
  <si>
    <t>Придбання світильників світодіодних</t>
  </si>
  <si>
    <t>Придбання світильників світодіодних 36W 4000</t>
  </si>
  <si>
    <t>Придбання форменного одягу  (манішка, бейсболка, вітровка, штани (кожна по 8 шт.),форма 8 компл.</t>
  </si>
  <si>
    <t>Придбання шафи аварійного введення резерву АВР 2/63А</t>
  </si>
  <si>
    <t xml:space="preserve">Придбання шафи аварійного введення резерву АВР 2/63А </t>
  </si>
  <si>
    <t xml:space="preserve">Про Закупівлю кріпильних деталей </t>
  </si>
  <si>
    <t>Про виконання послуг з монтажу, підключення та налагоджування</t>
  </si>
  <si>
    <t xml:space="preserve">Про виконання послуг з монтажу, підключення та налагоджування шафи аварійного введення резерву до генератора дизельного </t>
  </si>
  <si>
    <t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</t>
  </si>
  <si>
    <t xml:space="preserve">Про відшкодування витрат Орендодавця за послуги з теплопостачання за договором оренди майна, що належить до комунальної власності територіальної громади міста  </t>
  </si>
  <si>
    <t>Про відшкодування витрат балансоутримувача на утримання нерухомого майна та надання комунальних послуг орендарю</t>
  </si>
  <si>
    <t>Про відшкодування витрат за послуги теплопостачання за договором оренди</t>
  </si>
  <si>
    <t>Про закупівалю лікарських засобів</t>
  </si>
  <si>
    <t>Про закупівлю Стола ОМ100</t>
  </si>
  <si>
    <t>Про закупівлю автомата -вимикача (електрична апаратура для кумутування та захисту електричних кіл)</t>
  </si>
  <si>
    <t>Про закупівлю автоматичної оснастки</t>
  </si>
  <si>
    <t>Про закупівлю аккумуляторних батарейок</t>
  </si>
  <si>
    <t>Про закупівлю акумуляторів</t>
  </si>
  <si>
    <t>Про закупівлю бензину марки АИ-95</t>
  </si>
  <si>
    <t>Про закупівлю будівельних матеріалів</t>
  </si>
  <si>
    <t xml:space="preserve">Про закупівлю будівельних матеріалів </t>
  </si>
  <si>
    <t>Про закупівлю віконного блоку металопластикового</t>
  </si>
  <si>
    <t>Про закупівлю дверей</t>
  </si>
  <si>
    <t>Про закупівлю дверей металевих</t>
  </si>
  <si>
    <t>Про закупівлю дезінфікуючих засобів</t>
  </si>
  <si>
    <t>Про закупівлю деревини</t>
  </si>
  <si>
    <t>Про закупівлю дизельного генератора</t>
  </si>
  <si>
    <t xml:space="preserve">Про закупівлю дизельного палива ДП-Л-Євро5 </t>
  </si>
  <si>
    <t>Про закупівлю зарядних пристроїв</t>
  </si>
  <si>
    <t>Про закупівлю засобу КЗІ "Secure Token-337K"</t>
  </si>
  <si>
    <t>Про закупівлю кабелю</t>
  </si>
  <si>
    <t xml:space="preserve">Про закупівлю кабелю </t>
  </si>
  <si>
    <t>Про закупівлю кабелю та кріпильних деталей</t>
  </si>
  <si>
    <t>Про закупівлю канцелярських товарів</t>
  </si>
  <si>
    <t>Про закупівлю кондиціонера настінного типу</t>
  </si>
  <si>
    <t>Про закупівлю конструкційних матеріалів</t>
  </si>
  <si>
    <t>Про закупівлю кріпильних деталей (кут перфорований, дюбель-цвях)</t>
  </si>
  <si>
    <t>Про закупівлю кріпильних деталей(кут перфорований, дюбель-цвях)</t>
  </si>
  <si>
    <t>Про закупівлю лещат слюсарних</t>
  </si>
  <si>
    <t xml:space="preserve">Про закупівлю лещат слюсарних </t>
  </si>
  <si>
    <t>Про закупівлю лікарських засобів</t>
  </si>
  <si>
    <t>Про закупівлю матеріалів</t>
  </si>
  <si>
    <t>Про закупівлю матеріалів (Мило)</t>
  </si>
  <si>
    <t>Про закупівлю матеріалів (будівельні матеріали)</t>
  </si>
  <si>
    <t>Про закупівлю матеріалів (вироби різні)</t>
  </si>
  <si>
    <t>Про закупівлю матеріалів (гумові рукавиці)</t>
  </si>
  <si>
    <t>Про закупівлю матеріалів (електричні акумулятори: акумулятор для мегафону, акумулятор для магнітоли, батарейки)</t>
  </si>
  <si>
    <t>Про закупівлю матеріалів (елементи електричних схем)</t>
  </si>
  <si>
    <t>Про закупівлю матеріалів (знаряддя)</t>
  </si>
  <si>
    <t xml:space="preserve">Про закупівлю матеріалів (знаряддя) </t>
  </si>
  <si>
    <t>Про закупівлю матеріалів (кабелі та супутна продукція)</t>
  </si>
  <si>
    <t>Про закупівлю матеріалів (кріпильні деталі)</t>
  </si>
  <si>
    <t>Про закупівлю матеріалів (мастильні засоби)</t>
  </si>
  <si>
    <t>Про закупівлю матеріалів (миючих засобів)</t>
  </si>
  <si>
    <t>Про закупівлю матеріалів (миючі засоби)</t>
  </si>
  <si>
    <t>Про закупівлю матеріалів (пальник газовий та балон газовий)</t>
  </si>
  <si>
    <t>Про закупівлю матеріалів (рушники паперові, туалетний папір, серветки столові)</t>
  </si>
  <si>
    <t>Про закупівлю матеріалів (різальні інструменти)</t>
  </si>
  <si>
    <t>Про закупівлю матеріалів (світодіодний світильник на сонячних батареях з датчиком руху)</t>
  </si>
  <si>
    <t>Про закупівлю матеріалів (секція ЕКО колор + ПВХ 1,53х2,5м)</t>
  </si>
  <si>
    <t>Про закупівлю матеріалів (сітка, фарба та суміш для газобетона)</t>
  </si>
  <si>
    <t>Про закупівлю матеріалів (сітки, фарби та суміші для газобетона)</t>
  </si>
  <si>
    <t>Про закупівлю матеріалів (фарби)</t>
  </si>
  <si>
    <t>Про закупівлю матеріалів для  ремонту (Кабелі та супутня продукція)</t>
  </si>
  <si>
    <t>Про закупівлю матеріалів для ремонту</t>
  </si>
  <si>
    <t>Про закупівлю матеріалів для ремонту (Елементи електричних схем)</t>
  </si>
  <si>
    <t>Про закупівлю матеріалів для ремонту (Знаряддя)</t>
  </si>
  <si>
    <t>Про закупівлю матеріалів для ремонту (Кріпильні деталі)</t>
  </si>
  <si>
    <t>Про закупівлю матеріалів для ремонту (Кріпильні деталі); 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</si>
  <si>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</si>
  <si>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(Фарби)</t>
  </si>
  <si>
    <t>Про закупівлю матеріалів для ремонту (Шпалери та інші настінні покриття)</t>
  </si>
  <si>
    <t>Про закупівлю матеріалів для ремонту (будівельні матеріали)</t>
  </si>
  <si>
    <t>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матеріали); Про закупівлю матеріалів для ремонту (будівельні матеріали)</t>
  </si>
  <si>
    <t>Про закупівлю матеріалів для ремонту (електроди)</t>
  </si>
  <si>
    <t>Про закупівлю матеріалів для ремонту (знаряддя)</t>
  </si>
  <si>
    <t>Про закупівлю матеріалів для ремонту (клеї)</t>
  </si>
  <si>
    <t>Про закупівлю матеріалів для ремонту (конструкційні матеріали)</t>
  </si>
  <si>
    <t>Про закупівлю матеріалів для ремонту (кріпильні деталі)</t>
  </si>
  <si>
    <t>Про закупівлю матеріалів для ремонту (мастики, шпаклівки, замазки, розчинники)</t>
  </si>
  <si>
    <t>Про закупівлю матеріалів для ремонту (навісні та врізні замки різні)</t>
  </si>
  <si>
    <t>Про закупівлю матеріалів для ремонту (плІвки)</t>
  </si>
  <si>
    <t>Про закупівлю матеріалів для ремонту (фарби)</t>
  </si>
  <si>
    <t>Про закупівлю матеріалів для ремонту(Знаряддя)</t>
  </si>
  <si>
    <t>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ремонту(Знаряддя); Про закупівлю матеріалів для ремонту(Знаряддя)</t>
  </si>
  <si>
    <t>Про закупівлю матеріалів та знаряддя (електроди)</t>
  </si>
  <si>
    <t>Про закупівлю матеріалів та знаряддя (елементи електричних схем)</t>
  </si>
  <si>
    <t>Про закупівлю матеріалів та знаряддя (знаряддя)</t>
  </si>
  <si>
    <t>Про закупівлю матеріалів та знаряддя (навісні та врізні замки)</t>
  </si>
  <si>
    <t>Про закупівлю матеріалів та знаряддя (освітлювальне обладнання та електричні лампи)</t>
  </si>
  <si>
    <t>Про закупівлю матеріалів та знаряддя (умивальник Мойдодир)</t>
  </si>
  <si>
    <t>Про закупівлю матеріалів та знаряддя(вимикач)</t>
  </si>
  <si>
    <t>Про закупівлю матеріалів та знаряддя(знаряддя)</t>
  </si>
  <si>
    <t>Про закупівлю матеріалів та знаряддя(кріпильні деталі)</t>
  </si>
  <si>
    <t>Про закупівлю матеріалів та обладнання (електроди)</t>
  </si>
  <si>
    <t>Про закупівлю матеріалів та обладнання (елементи електричних схем)</t>
  </si>
  <si>
    <t>Про закупівлю матеріалів та обладнання (кабелі та супутня продукція)</t>
  </si>
  <si>
    <t>Про закупівлю матеріалів та обладнання (кріпильні деталі)</t>
  </si>
  <si>
    <t>Про закупівлю матеріалів та обладнання (освітлювальне обладнання та електричні лампи)</t>
  </si>
  <si>
    <t>Про закупівлю матеріалів та обладнання (фарби)</t>
  </si>
  <si>
    <t>Про закупівлю матеріалів(акумуляторні батареї)</t>
  </si>
  <si>
    <t>Про закупівлю матеріалів(мастика)</t>
  </si>
  <si>
    <t>Про закупівлю матеріалів(пакети для сміття)</t>
  </si>
  <si>
    <t>Про закупівлю медичних матеріалів</t>
  </si>
  <si>
    <t>Про закупівлю медичного обладнання (тонометра автоматичного)</t>
  </si>
  <si>
    <t xml:space="preserve">Про закупівлю мікрофонів та гучномовців </t>
  </si>
  <si>
    <t>Про закупівлю нафтопродуктів (масло 4л)</t>
  </si>
  <si>
    <t xml:space="preserve">Про закупівлю обладнання </t>
  </si>
  <si>
    <t>Про закупівлю обладнання для передавання даних (засіб КЗІ "Secure Token-338S")</t>
  </si>
  <si>
    <t>Про закупівлю питної доочищеної води</t>
  </si>
  <si>
    <t>Про закупівлю плівки</t>
  </si>
  <si>
    <t xml:space="preserve">Про закупівлю покрівельних матеріалів </t>
  </si>
  <si>
    <t>Про закупівлю пристрою зарядного</t>
  </si>
  <si>
    <t>Про закупівлю пристрою зарядного (зарядно-пусковий)</t>
  </si>
  <si>
    <t>Про закупівлю продукції (дизельне паливо).</t>
  </si>
  <si>
    <t>Про закупівлю санітарно-гігієнічних товарів (дихлофос)</t>
  </si>
  <si>
    <t>Про закупівлю санітарно-гігієнічних товарів (дихлофос, освіжувач)</t>
  </si>
  <si>
    <t>Про закупівлю санітарно-гігієнічних товарів (миючі засоби)</t>
  </si>
  <si>
    <t>Про закупівлю санітарно-гігієнічних товарів (пакети для сміття)</t>
  </si>
  <si>
    <t>Про закупівлю санітарно-гігієнічних товарів (рукавиці гумові)</t>
  </si>
  <si>
    <t>Про закупівлю санітарно-гігієнічних товарів (рукавиці робочі)</t>
  </si>
  <si>
    <t>Про закупівлю санітарно-гігієнічних товарів (рушники паперові, туалетний папір, серветки)</t>
  </si>
  <si>
    <t>Про закупівлю санітарно-гігієнічних товарів (серветки)</t>
  </si>
  <si>
    <t>Про закупівлю санітарно-гігієнічних товарів (совок для сміття+щітка "Лінивка")</t>
  </si>
  <si>
    <t>Про закупівлю санітарно-гігієнічних товарів (туалетний папір та серветки)</t>
  </si>
  <si>
    <t>Про закупівлю світильників світлодіодних</t>
  </si>
  <si>
    <t>Про закупівлю стаціонарної герметизованої акумуляторної батареї</t>
  </si>
  <si>
    <t>Про закупівлю стрічки</t>
  </si>
  <si>
    <t>Про закупівлю табличок</t>
  </si>
  <si>
    <t>Про закупівлю табличок (Інформаційне обладнання)</t>
  </si>
  <si>
    <t>Про закупівлю товару (багатофункціональний пристрій)</t>
  </si>
  <si>
    <t>Про закупівлю товару (комп'ютер)</t>
  </si>
  <si>
    <t>Про закупівлю товару (спеціальний робочий одяг)</t>
  </si>
  <si>
    <t>Про закупівлю товарів (господарське приладдя)</t>
  </si>
  <si>
    <t>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приладдя); Про закупівлю товарів (господарське приладдя)</t>
  </si>
  <si>
    <t>Про закупівлю товарів (ліхтарик "Кемпінг")</t>
  </si>
  <si>
    <t>Про закупівлю товарів (мийні засоби)</t>
  </si>
  <si>
    <t>Про закупівлю товарів (мийні засоби); Про закупівлю товарів (мийні засоби); Про закупівлю товарів (мийні засоби); Про закупівлю товарів (мийні засоби); Про закупівлю товарів (мийні засоби)</t>
  </si>
  <si>
    <t>Про закупівлю товарів (мило)</t>
  </si>
  <si>
    <t>Про закупівлю товарів (мило); Про закупівлю товарів (мило)</t>
  </si>
  <si>
    <t>Про закупівлю товарів (паперові рушники для рук)</t>
  </si>
  <si>
    <t>Про закупівлю товарів (продукція для чищення)</t>
  </si>
  <si>
    <t>Про закупівлю товарів (продукції для чищення:миючі засоби,мило, рукавиці тощо)</t>
  </si>
  <si>
    <t>Про закупівлю товарів (світильники та освітлювальна арматура)</t>
  </si>
  <si>
    <t>Про закупівлю товарів (світильників)</t>
  </si>
  <si>
    <t>Про закупівлю тонометра та фармацевтичної продукції (лікарські препарати)</t>
  </si>
  <si>
    <t>Про закупівлю тросу та зажиму для тросу</t>
  </si>
  <si>
    <t>Про закупівлю фармацевтичної продукції</t>
  </si>
  <si>
    <t>Про закупівлю флеш-накопичувача</t>
  </si>
  <si>
    <t>Про закупівлю шпаклівки</t>
  </si>
  <si>
    <t>Про закупівлю інформаційних стендів та плакатів</t>
  </si>
  <si>
    <t>Про закцупівлю медичного обладнання та виробів медичного призначення (аптечки медичні першої допомоги "КЗ, Антитерор" (1шт.) та Сумка санітарна" (2шт.)</t>
  </si>
  <si>
    <t>Про купівлю електричних інструментів ( тример, верстат точильний, диск відрізний)</t>
  </si>
  <si>
    <t>Про купівлю знаряддя (універсальний набір інструментів)</t>
  </si>
  <si>
    <t>Про надання (виконання) роботи з сервісного технічного обслуговування градуювання та повірки приладу Alcotest 6810</t>
  </si>
  <si>
    <t>Про надання в користування кабельної каналізації електрозвязку</t>
  </si>
  <si>
    <t>Про надання в користування нерухомого майна (технологічні приміщення) ПАТ "Укртелеком" для розміщення обладнання оповіщення</t>
  </si>
  <si>
    <t>Про надання періодичних видань</t>
  </si>
  <si>
    <t>Про надання періодичних видань  "Радник у сфері публічних закупівель"</t>
  </si>
  <si>
    <t>Про надання послуг (заправка, технічне обслуговування та ремонт офісної техніки)</t>
  </si>
  <si>
    <t>Про надання послуг (перезарядження вогнегасників)</t>
  </si>
  <si>
    <t>Про надання послуг (пусконалагоджувальні та електромонтажні роботи)</t>
  </si>
  <si>
    <t>Про надання послуг (технічне обслуговування і ремонт офісної техніки)</t>
  </si>
  <si>
    <t xml:space="preserve">Про надання послуг (технічне обслуговування і ремонт офісної техніки)
</t>
  </si>
  <si>
    <t>Про надання послуг з боротьби зі шкідниками (дератизація)</t>
  </si>
  <si>
    <t>Про надання послуг з вивезення та складування твердих побутових відходів</t>
  </si>
  <si>
    <t>Про надання послуг з відправки СМС повідомлень з використанням Альфанумеричного імені</t>
  </si>
  <si>
    <t>Про надання послуг з доступу до електронного  кабінету періодичних видань</t>
  </si>
  <si>
    <t>Про надання послуг з експлуатаційно-технічного обслуговування апаратури та інших технічних засобів оповіщення і зв’язку цивільного захитсу</t>
  </si>
  <si>
    <t>Про надання послуг з навчання у сфері здійснення публічних закупівель</t>
  </si>
  <si>
    <t xml:space="preserve">Про надання послуг з навчаня персоналу за формою онлайн-навчання "Судноводій моторного судна  до 6м" </t>
  </si>
  <si>
    <t xml:space="preserve"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</t>
  </si>
  <si>
    <t>Про надання послуг з обробки даних, постачання, видачі та обслуговування кваліфікованих сертифікатів відкритих ключів кваліфікованого електронного підпису (постачання ПК "Варта")</t>
  </si>
  <si>
    <t>Про надання послуг з обробки даних, постачання,видачі та обслуговування кваліфікованих сертифікатів відкритих ключів кваліфікованого електронного підпису</t>
  </si>
  <si>
    <t>Про надання послуг з поводження з побутовими відходами (утилізація сміття та поводження зі сміттям)</t>
  </si>
  <si>
    <t>Про надання послуг з постачання пеплової енергії</t>
  </si>
  <si>
    <t>Про надання послуг з професійної підготовки у сфері надання першої медичної допомоги</t>
  </si>
  <si>
    <t>Про надання послуг з теплопостачання</t>
  </si>
  <si>
    <t>Про надання послуг з технічного обслуговування Лінійно-кабельних споруд системи відеоспостереження м.Южноукраїнськ</t>
  </si>
  <si>
    <t xml:space="preserve">Про надання послуг з технічного обслуговування Лінійно-кабельних споруд системи відеоспостереження м.Южноукраїнськ
</t>
  </si>
  <si>
    <t>Про надання послуг з утримання будинків і споруд та прибудинкових територій</t>
  </si>
  <si>
    <t>Про надання послуг з централізованого водопостачання та централізованого водовідведення</t>
  </si>
  <si>
    <t>Про надання послуг постачання примірника  та пакетів оновлень(компонент) комп'ютерної програми " M.E.Doc"</t>
  </si>
  <si>
    <t>Про надання послуг у сфері інформатизації (інформаційно-консультативні послуги з питань програмного забезпечення)</t>
  </si>
  <si>
    <t>Про надання послуг, вовязані з програмним забезпеченям</t>
  </si>
  <si>
    <t>Про надання послуг, повязаних з програмним забезпеченям</t>
  </si>
  <si>
    <t>Про надання транспортних послуг</t>
  </si>
  <si>
    <t xml:space="preserve">Про надання транспортних послуг (автовишка ) </t>
  </si>
  <si>
    <t>Про надання транспортних послуг (автовишка)</t>
  </si>
  <si>
    <t>Про надання транспортних послуг(автовишка)</t>
  </si>
  <si>
    <t xml:space="preserve">Про поставку  обмундирування ( напівмаска фільтруюча (респіратор) з клапаном </t>
  </si>
  <si>
    <t>Про поставку офісних меблів (столів, стільців)</t>
  </si>
  <si>
    <t>Про поставку рятувальних виробів (шнур діаметр 8 мм)</t>
  </si>
  <si>
    <t>Про поставку рятувальних жилетів</t>
  </si>
  <si>
    <t>Про поставку рятувальних засобів ( маски, ласти, дихальні трубки)</t>
  </si>
  <si>
    <t>Про поставку товару</t>
  </si>
  <si>
    <t xml:space="preserve">Про поставку фільтрів до протигазів (індивідуальне обмундирування) </t>
  </si>
  <si>
    <t>Про постачання аптечки індивідуальної першої допомоги №2</t>
  </si>
  <si>
    <t xml:space="preserve">Про постачання електричної енергії </t>
  </si>
  <si>
    <t xml:space="preserve">Про постачання теплової енергії </t>
  </si>
  <si>
    <t xml:space="preserve">Про постачання фільтрів MPL ABEK2Hg P3 R </t>
  </si>
  <si>
    <t>Про придбання генератора</t>
  </si>
  <si>
    <t>Про придбання канцтоварів</t>
  </si>
  <si>
    <t>Про придбання товарів (лампа настільна світлодіодна акумуляторна)</t>
  </si>
  <si>
    <t>Про спеціальне навчання з підготовки осіб до роботи плавця-рятувальника сезонних рятувальних постів (48годин) у кількості 8 (восьми) слухачів</t>
  </si>
  <si>
    <t>Про страхування від нещасних випадків (матросів-рятувальників)</t>
  </si>
  <si>
    <t>Про страхування від нещасних випадків матроса-рятувальника</t>
  </si>
  <si>
    <t>Про страхування від нещасних випадків матросів-рятувальників</t>
  </si>
  <si>
    <t>Про страхування одноповерхової будівлі рятувального поста на міському пляжі</t>
  </si>
  <si>
    <t>Про страхування орендованих приміщень, за адресою: м.Южноукраїнськ, вул.Дружби Народів, 23</t>
  </si>
  <si>
    <t xml:space="preserve">Про страхування орендованих приміщень, за адресою:м.Южноукраїнськ б.Цвіточний,9 </t>
  </si>
  <si>
    <t>Про централізоване постачання холодної води і водовідведення(розподіл води)</t>
  </si>
  <si>
    <t xml:space="preserve">Проведення експертизи кошторисної документації за робочим проектом: "Реконструкція лінійно-кабельних споруд системи відеоспостереження в м. Южноукраїнськ"  </t>
  </si>
  <si>
    <t>Продукція для чищення</t>
  </si>
  <si>
    <t>Продукція для чищення (Миючі засоби)</t>
  </si>
  <si>
    <t>Прожектор LED, коробка розподільна,хомут кабельний</t>
  </si>
  <si>
    <t>Публічне акціонерне товариство "Укртелеком"</t>
  </si>
  <si>
    <t>Підготовка та видача технічних умов на прокладку кабелю в ККЕ Укртелеком</t>
  </si>
  <si>
    <t>Р-001135</t>
  </si>
  <si>
    <t>Реконструкція лінійно-кабельних споруд системи відеоспостереження в м. Южноукраїнськ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</si>
  <si>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</t>
  </si>
  <si>
    <t>Роботи з авторського нагляду по роботам з "Нового будівництво місцевої автоматизованої системи централізованого оповіщення м. Южноукраїнськ Миколаївської області ( Послуги з нагляду за виконанням будівельних робіт)</t>
  </si>
  <si>
    <t>Роботи з авторського нагляду по роботам з "Реконструкції лінійно-кабельних споруд системи відеоспостереження в м. Южноукраїнськ"</t>
  </si>
  <si>
    <t xml:space="preserve">Роботи з авторського нагляду по роботам з "Реконструкції лінійно-кабельних споруд системи відеоспостереження в м. Южноукраїнськ"
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</si>
  <si>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</t>
  </si>
  <si>
    <t>Роботи з технічного нагляду з "Нового будівництва місцевої автоматизованої системи централізованого оповіщення м. Южноукраїнськ Миколаївської області"</t>
  </si>
  <si>
    <t>Роботи з технічного нагляду по роботам з "Реконструкції лінійно-кабельних споруд системи відеоспостереження в м. Южноукраїнськ"</t>
  </si>
  <si>
    <t xml:space="preserve">Роботи з технічного нагляду по роботам з "Реконструкції лінійно-кабельних споруд системи відеоспостереження в м. Южноукраїнськ"
</t>
  </si>
  <si>
    <t>Розробка проекту (внесення змін до існуючого проекту, дообладнання засобами відеоспостереження громадських місць, житлових та адміністративних будівель)</t>
  </si>
  <si>
    <t>Розробка технічної документації із землеустрою щодо встановлення меж частини земельної ділянки за адресою: вул. Набережна Енергетиків, 20а у м. Южноукраїнск</t>
  </si>
  <si>
    <t>САВИЦЬКА ЛАРИСА ПЕТРІВНА</t>
  </si>
  <si>
    <t>СЕВАСТЬЯНОВА ОЛЕНА МИКОЛАЇВНА</t>
  </si>
  <si>
    <t>СПД Верба Віктор Вікторович</t>
  </si>
  <si>
    <t>СПД Сорочкін Олег Віталійович</t>
  </si>
  <si>
    <t>Світильники та освітлювальна арматура</t>
  </si>
  <si>
    <t>Спеціальне навчання з підготовки осіб до роботи плавців-рятувальників (48 годин) у кількості -8 (вісім) слухачів</t>
  </si>
  <si>
    <t>Спрощена закупівля</t>
  </si>
  <si>
    <t>Статус договору</t>
  </si>
  <si>
    <t>Страхування майна</t>
  </si>
  <si>
    <t>Страхування майна (приміщення опорного пункту)</t>
  </si>
  <si>
    <t>Страхування майна (приміщення рятувального посту)</t>
  </si>
  <si>
    <t>Сума договору</t>
  </si>
  <si>
    <t xml:space="preserve">Сумка через плече </t>
  </si>
  <si>
    <t>Сумка через плече TIGERNU T-L5102 чорна</t>
  </si>
  <si>
    <t>ТІТЕНКО ІРИНА ЯРОСЛАВІВНА</t>
  </si>
  <si>
    <t>ТАРАН ЛЮБОВ ГРИГОРІВНА</t>
  </si>
  <si>
    <t>ТЕЛЕГІНА ОЛЬГА ВЯЧЕСЛАВІВНА</t>
  </si>
  <si>
    <t>ТОВАРИСТВО З ОБМЕЖЕНОЮ ВІДПОВІДАЛЬНІСТЮ  МИКОЛАЇВСЬКА ЕЛЕКТРОПОСТАЧАЛЬНА КОМПАНІЯ</t>
  </si>
  <si>
    <t>ТОВАРИСТВО З ОБМЕЖЕНОЮ ВІДПОВІДАЛЬНІСТЮ "ЄВРОПА АРМ СПОРТ"</t>
  </si>
  <si>
    <t>ТОВАРИСТВО З ОБМЕЖЕНОЮ ВІДПОВІДАЛЬНІСТЮ "ІННОВАЦІЙНІ РІШЕННЯ "АНФЕР"</t>
  </si>
  <si>
    <t>ТОВАРИСТВО З ОБМЕЖЕНОЮ ВІДПОВІДАЛЬНІСТЮ "ІНСТИТУТ ЕКОНОМІЧНОЇ ОСВІТИ І РОЗВИТКУ"</t>
  </si>
  <si>
    <t>ТОВАРИСТВО З ОБМЕЖЕНОЮ ВІДПОВІДАЛЬНІСТЮ "ІНТЕР-ТЕЛЕКОМ СЕРВІС"</t>
  </si>
  <si>
    <t>ТОВАРИСТВО З ОБМЕЖЕНОЮ ВІДПОВІДАЛЬНІСТЮ "АЙТІ-ТЕХНОЛОГІЇ"</t>
  </si>
  <si>
    <t>ТОВАРИСТВО З ОБМЕЖЕНОЮ ВІДПОВІДАЛЬНІСТЮ "АККУТРЄЙД УКРАЇНА"</t>
  </si>
  <si>
    <t>ТОВАРИСТВО З ОБМЕЖЕНОЮ ВІДПОВІДАЛЬНІСТЮ "АРТ - ПРОМ"</t>
  </si>
  <si>
    <t>ТОВАРИСТВО З ОБМЕЖЕНОЮ ВІДПОВІДАЛЬНІСТЮ "АТЗТ КОМПАНІЯ "САТУРН ДЕЙТА ІНТЕРНЕШЕНЛ"</t>
  </si>
  <si>
    <t>ТОВАРИСТВО З ОБМЕЖЕНОЮ ВІДПОВІДАЛЬНІСТЮ "ВИРОБНИЧЕ ПІДПРИЄМСТВО СТАТУС"</t>
  </si>
  <si>
    <t>ТОВАРИСТВО З ОБМЕЖЕНОЮ ВІДПОВІДАЛЬНІСТЮ "ГЕЛІОС - 2012 ЮК"</t>
  </si>
  <si>
    <t>ТОВАРИСТВО З ОБМЕЖЕНОЮ ВІДПОВІДАЛЬНІСТЮ "ЗЕМЕЛЬНИЙ КАДАСТРОВИЙ ЦЕНТР"</t>
  </si>
  <si>
    <t>ТОВАРИСТВО З ОБМЕЖЕНОЮ ВІДПОВІДАЛЬНІСТЮ "КАЙРОС ГРУП УКРАЇНА"</t>
  </si>
  <si>
    <t>ТОВАРИСТВО З ОБМЕЖЕНОЮ ВІДПОВІДАЛЬНІСТЮ "МЕДІА-ПРО"</t>
  </si>
  <si>
    <t>ТОВАРИСТВО З ОБМЕЖЕНОЮ ВІДПОВІДАЛЬНІСТЮ "МЕРЕЖА МАГАЗИНІВ "ДНІПРО-М"</t>
  </si>
  <si>
    <t>ТОВАРИСТВО З ОБМЕЖЕНОЮ ВІДПОВІДАЛЬНІСТЮ "МИКОЛАЇВСЬКА ЕЛЕКТРОПОСТАЧАЛЬНА КОМПАНІЯ"</t>
  </si>
  <si>
    <t>ТОВАРИСТВО З ОБМЕЖЕНОЮ ВІДПОВІДАЛЬНІСТЮ "НАУКОВО-ВИРОБНИЧА КОМПАНІЯ "УКРЕКОПРОМ"</t>
  </si>
  <si>
    <t>ТОВАРИСТВО З ОБМЕЖЕНОЮ ВІДПОВІДАЛЬНІСТЮ "НАУКОВО-ВИРОБНИЧЕ ПІДПРИЄМСТВО "ОЗОН С"</t>
  </si>
  <si>
    <t>ТОВАРИСТВО З ОБМЕЖЕНОЮ ВІДПОВІДАЛЬНІСТЮ "НАУКОВО-ВИРОБНИЧЕ ПІДПРИЄМСТВО "ФАКТОР"</t>
  </si>
  <si>
    <t>ТОВАРИСТВО З ОБМЕЖЕНОЮ ВІДПОВІДАЛЬНІСТЮ "ТЕНДЕРНЕ АГЕНТСТВО РАДНИК"</t>
  </si>
  <si>
    <t>ТОВАРИСТВО З ОБМЕЖЕНОЮ ВІДПОВІДАЛЬНІСТЮ "ФАЛЬКОН-М"</t>
  </si>
  <si>
    <t>ТОВАРИСТВО З ОБМЕЖЕНОЮ ВІДПОВІДАЛЬНІСТЮ "ФАРММЕДАЛЬЯНС"</t>
  </si>
  <si>
    <t>ТОВАРИСТВО З ОБМЕЖЕНОЮ ВІДПОВІДАЛЬНІСТЮ "ЦЕНТР СЕРТИФІКАЦІЇ КЛЮЧІВ "УКРАЇНА"</t>
  </si>
  <si>
    <t>ТОВАРИСТВО З ОБМЕЖЕНОЮ ВІДПОВІДАЛЬНІСТЮ "ЦЕНТР СУДНОВОДІЯ"</t>
  </si>
  <si>
    <t>ТОВАРИСТВО З ОБМЕЖЕНОЮ ВІДПОВІДАЛЬНІСТЮ "ЮАСАФЕТІ"</t>
  </si>
  <si>
    <t>ТОВАРИСТВО З ОБМЕЖЕНОЮ ВІДПОВІДАЛЬНІСТЮ СПІЛЬНЕ ПІДПРИЄМСТВО "АПС" ЛТД</t>
  </si>
  <si>
    <t>Технічне обслуговування, організація та проведення повірки аналізатора парів спирту</t>
  </si>
  <si>
    <t>Тип процедури</t>
  </si>
  <si>
    <t>УНТІЛОВ ОЛЕКСАНДР ПАВЛОВИЧ</t>
  </si>
  <si>
    <t>УНТІЛОВ СЕРГІЙ ОЛЕКСАНДРОВИЧ</t>
  </si>
  <si>
    <t>УПРАВЛІННЯ ПОЛІЦІЇ ОХОРОНИ В МИКОЛАЇВСЬКІЙ ОБЛАСТІ</t>
  </si>
  <si>
    <t>Узагальнена назва закупівлі</t>
  </si>
  <si>
    <t>ФІЛАТ ВЛАДИСЛАВ ПЕТРОВИЧ</t>
  </si>
  <si>
    <t>ФАЛЬКОН-М</t>
  </si>
  <si>
    <t>ФОП ГОРБАЧЕНКО МИКИТА СЕРГІЙОВИЧ</t>
  </si>
  <si>
    <t>ФОП ЖАКУЛІН ЮРІЙ ОЛЕКСАНДРОВИЧ</t>
  </si>
  <si>
    <t>ФОП Каневська Оксана Анатоліївна</t>
  </si>
  <si>
    <t>ФОП Красносельський С.Г.</t>
  </si>
  <si>
    <t>ФОП СКОРЧЕНКО ВІКТОР ВОЛОДИМИРОВИЧ</t>
  </si>
  <si>
    <t>Фарба грунтуюча СТ-16</t>
  </si>
  <si>
    <t>Фізична особа - підприємець  Безнощенко Юрій Анатолійович</t>
  </si>
  <si>
    <t>Фізична особа-підприємець Антоновський Олександр Сергійович</t>
  </si>
  <si>
    <t>ХАРКОМІЦА ВАЛЕНТИНА ЛЕОНІВНА</t>
  </si>
  <si>
    <t>Херсонська філія ТОВАРИСТВО З ОБМЕЖЕНОЮ ВІДПОВІДАЛЬНІСТЮ "ЦЕНТР СУДНОВОДІЯ"</t>
  </si>
  <si>
    <t>ЦИСАРЬ ЛАРИСА ГЕННАДІЇВНА</t>
  </si>
  <si>
    <t>Централізоване постачання холодної води та водовідведення</t>
  </si>
  <si>
    <t>ЧЕРНИЧКО АНДРІЙ ОЛЕКСАНДРОВИЧ</t>
  </si>
  <si>
    <t>ШВЕДОВ ВАДИМ ВІКТОРОВИЧ</t>
  </si>
  <si>
    <t>ШЕВЧЕНКО ОЛЕКСАНДР ОЛЕКСАНДРОВИЧ</t>
  </si>
  <si>
    <t>Штамп 60х40 мм, основа пластмасова РтС</t>
  </si>
  <si>
    <t>Штампи</t>
  </si>
  <si>
    <t>ЮРЧЕНКО МИКИТА СЕРГІЙОВИЧ</t>
  </si>
  <si>
    <t>ЮЩУК ВІКТОРІЯ ОЛЕКСАНДРІВНА</t>
  </si>
  <si>
    <t>активний</t>
  </si>
  <si>
    <t>додУг№2до Дог.№147від10.02.2021</t>
  </si>
  <si>
    <t>закритий</t>
  </si>
  <si>
    <t>технічна інвентаризаці та виготовлення технічного паспорта на обєкт нерухомого майна: Рятувальний пост по вул.Набережна Енергетиків  20а, м.Южноукраїнськ Миколаївська область</t>
  </si>
  <si>
    <t>№</t>
  </si>
  <si>
    <t>РЕЄСТР УКЛАДЕНИХ ДОГОВОРІВ НА  2024 РІК</t>
  </si>
  <si>
    <t>ЮЖНОУКРАЇНСЬКОГО МІСЬКОГО ЦЕНТРУ СОЦІАЛЬНИХ СЛУЖБ</t>
  </si>
  <si>
    <t>СТАНОМ НА ІV квартал 2024 РОКУ</t>
  </si>
  <si>
    <t>Повірка по вимірюванню лічильника по воді</t>
  </si>
  <si>
    <t>КП ТВКГ</t>
  </si>
  <si>
    <t>Договір №259/58</t>
  </si>
  <si>
    <t>Придбання контейнерів з чорнилами</t>
  </si>
  <si>
    <t>22610000-9 Друкарська фарба</t>
  </si>
  <si>
    <t>ФОП Ігнатенко С.В.</t>
  </si>
  <si>
    <t>Договір №59</t>
  </si>
  <si>
    <t>Придбання канцтоварів</t>
  </si>
  <si>
    <t>Договір №60</t>
  </si>
  <si>
    <t>Придбання канцелярських товарів</t>
  </si>
  <si>
    <t>Договір №61</t>
  </si>
  <si>
    <t>Придбання продукції для чищення</t>
  </si>
  <si>
    <t>ФОП Приходько В.М.</t>
  </si>
  <si>
    <t>Договір №62</t>
  </si>
  <si>
    <t>Придбання друкованої продукції, мінібуклети</t>
  </si>
  <si>
    <t>22160000-9 Буклети</t>
  </si>
  <si>
    <t>ТОВ "Друкарня "50-копійок"</t>
  </si>
  <si>
    <t>Договір №63</t>
  </si>
  <si>
    <t>Придбання ігри (набори) для творчості)</t>
  </si>
  <si>
    <t>37820000-2 Приладдя для образотворчого мистецтва</t>
  </si>
  <si>
    <t>ФОП Лесів О.О.</t>
  </si>
  <si>
    <t>Договір №64</t>
  </si>
  <si>
    <t>Спеціальне навчання з питань пожежної безпеки</t>
  </si>
  <si>
    <t>НМЦЦЗБЖ</t>
  </si>
  <si>
    <t>Договір №681/65</t>
  </si>
  <si>
    <t>Спеціальне навчання з питань охорони праці</t>
  </si>
  <si>
    <t>ПП"НМЦБЖ"</t>
  </si>
  <si>
    <t>Договір №234/66</t>
  </si>
  <si>
    <t>Придбання листівок А4, листівок А6</t>
  </si>
  <si>
    <t>22460000-2 Рекламні матеріали, каталоги товарів та посібники</t>
  </si>
  <si>
    <t>ТОВ"Друкарня 50 копійок"</t>
  </si>
  <si>
    <t>Договір № 67</t>
  </si>
  <si>
    <t>Послуги з перезарядки і поточного ремонту вогнегасників</t>
  </si>
  <si>
    <t>ФОП Середа С.В.</t>
  </si>
  <si>
    <t>Договір №68</t>
  </si>
  <si>
    <t>Послуги з виміру опору ізоляції</t>
  </si>
  <si>
    <t>45320000-6 Ізоляційні роботи</t>
  </si>
  <si>
    <t>ДПЕМПАТ"Атомсервіс"</t>
  </si>
  <si>
    <t>Договір №69</t>
  </si>
  <si>
    <t>Надання доступу в режимі онлайн до інформаційного ресурсу бухгалтерської справи</t>
  </si>
  <si>
    <t>ПП "Белінор"</t>
  </si>
  <si>
    <t>Договір №2161492/70</t>
  </si>
  <si>
    <t>Надання послуг по встановленню бойлера</t>
  </si>
  <si>
    <t>51110000-6 Послуги зі встановлення електричного обладнання</t>
  </si>
  <si>
    <t>КП "ЖЕО"</t>
  </si>
  <si>
    <t>Придбання печаток і штампів на автоматичеій оснастці</t>
  </si>
  <si>
    <t>ФОП Матвєєв О.Б.</t>
  </si>
  <si>
    <t>договір №72</t>
  </si>
  <si>
    <t xml:space="preserve">Договір №71 </t>
  </si>
  <si>
    <t>Електронні інформаційно-консультативні послуги онлайн сервісу "Кадроленд"</t>
  </si>
  <si>
    <t>7941000-1 Консультаційні послуги з питань підприємницької діяльності та управління</t>
  </si>
  <si>
    <t>ТОВ "Кадрова платформа"</t>
  </si>
  <si>
    <t>Договір №73</t>
  </si>
  <si>
    <t>Придбання стіл проекційний Itech TS-6</t>
  </si>
  <si>
    <t>39150000-8 Меблі та приспособи різні</t>
  </si>
  <si>
    <t>Договір №74</t>
  </si>
  <si>
    <t>Висвітлення інформації у газеті</t>
  </si>
  <si>
    <t>ПП "Редакція газети "Контакт"</t>
  </si>
  <si>
    <t>Договір №24/75</t>
  </si>
  <si>
    <t>Придбання автомобіля спеціалізованого для перевезення осіб з обмеженою мобільністю CROS PR на базі а/м Peugeot Rifter L2</t>
  </si>
  <si>
    <t>34110000-1 Легкові автомобілі</t>
  </si>
  <si>
    <t>Відкриті торги з особливостями</t>
  </si>
  <si>
    <t>ТОВ "Талісман-Автостиль"</t>
  </si>
  <si>
    <t>Договір №76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</si>
</sst>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8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164" fontId="1" fillId="3" borderId="0" xfId="0" applyNumberFormat="1" applyFont="1" applyFill="1"/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wrapText="1"/>
    </xf>
    <xf numFmtId="1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164" fontId="1" fillId="0" borderId="2" xfId="0" applyNumberFormat="1" applyFont="1" applyBorder="1"/>
    <xf numFmtId="0" fontId="3" fillId="2" borderId="0" xfId="0" applyFont="1" applyFill="1" applyAlignment="1">
      <alignment horizontal="center" wrapText="1"/>
    </xf>
    <xf numFmtId="0" fontId="0" fillId="4" borderId="0" xfId="0" applyFill="1"/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/>
    <xf numFmtId="4" fontId="1" fillId="4" borderId="2" xfId="0" applyNumberFormat="1" applyFont="1" applyFill="1" applyBorder="1"/>
    <xf numFmtId="164" fontId="1" fillId="4" borderId="2" xfId="0" applyNumberFormat="1" applyFont="1" applyFill="1" applyBorder="1"/>
    <xf numFmtId="4" fontId="4" fillId="0" borderId="2" xfId="0" applyNumberFormat="1" applyFont="1" applyBorder="1"/>
    <xf numFmtId="0" fontId="5" fillId="0" borderId="2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ki.prom.ua/remote/dispatcher/state_purchase_view/17918163" TargetMode="External"/><Relationship Id="rId671" Type="http://schemas.openxmlformats.org/officeDocument/2006/relationships/hyperlink" Target="https://my.zakupki.prom.ua/remote/dispatcher/state_purchase_view/25884494" TargetMode="External"/><Relationship Id="rId769" Type="http://schemas.openxmlformats.org/officeDocument/2006/relationships/hyperlink" Target="https://my.zakupki.prom.ua/remote/dispatcher/state_purchase_view/38882951" TargetMode="External"/><Relationship Id="rId21" Type="http://schemas.openxmlformats.org/officeDocument/2006/relationships/hyperlink" Target="https://my.zakupki.prom.ua/remote/dispatcher/state_purchase_view/40918997" TargetMode="External"/><Relationship Id="rId324" Type="http://schemas.openxmlformats.org/officeDocument/2006/relationships/hyperlink" Target="https://my.zakupki.prom.ua/remote/dispatcher/state_contracting_view/8180132" TargetMode="External"/><Relationship Id="rId531" Type="http://schemas.openxmlformats.org/officeDocument/2006/relationships/hyperlink" Target="https://my.zakupki.prom.ua/remote/dispatcher/state_purchase_view/26614968" TargetMode="External"/><Relationship Id="rId629" Type="http://schemas.openxmlformats.org/officeDocument/2006/relationships/hyperlink" Target="https://my.zakupki.prom.ua/remote/dispatcher/state_purchase_view/23805744" TargetMode="External"/><Relationship Id="rId170" Type="http://schemas.openxmlformats.org/officeDocument/2006/relationships/hyperlink" Target="https://my.zakupki.prom.ua/remote/dispatcher/state_contracting_view/4942651" TargetMode="External"/><Relationship Id="rId836" Type="http://schemas.openxmlformats.org/officeDocument/2006/relationships/hyperlink" Target="https://my.zakupki.prom.ua/remote/dispatcher/state_contracting_view/14064011" TargetMode="External"/><Relationship Id="rId268" Type="http://schemas.openxmlformats.org/officeDocument/2006/relationships/hyperlink" Target="https://my.zakupki.prom.ua/remote/dispatcher/state_contracting_view/4242485" TargetMode="External"/><Relationship Id="rId475" Type="http://schemas.openxmlformats.org/officeDocument/2006/relationships/hyperlink" Target="https://my.zakupki.prom.ua/remote/dispatcher/state_purchase_view/26394233" TargetMode="External"/><Relationship Id="rId682" Type="http://schemas.openxmlformats.org/officeDocument/2006/relationships/hyperlink" Target="https://my.zakupki.prom.ua/remote/dispatcher/state_contracting_view/13815196" TargetMode="External"/><Relationship Id="rId903" Type="http://schemas.openxmlformats.org/officeDocument/2006/relationships/hyperlink" Target="https://my.zakupki.prom.ua/remote/dispatcher/state_purchase_view/37668878" TargetMode="External"/><Relationship Id="rId32" Type="http://schemas.openxmlformats.org/officeDocument/2006/relationships/hyperlink" Target="https://my.zakupki.prom.ua/remote/dispatcher/state_contracting_view/16167823" TargetMode="External"/><Relationship Id="rId128" Type="http://schemas.openxmlformats.org/officeDocument/2006/relationships/hyperlink" Target="https://my.zakupki.prom.ua/remote/dispatcher/state_contracting_view/4850932" TargetMode="External"/><Relationship Id="rId335" Type="http://schemas.openxmlformats.org/officeDocument/2006/relationships/hyperlink" Target="https://my.zakupki.prom.ua/remote/dispatcher/state_purchase_view/24582979" TargetMode="External"/><Relationship Id="rId542" Type="http://schemas.openxmlformats.org/officeDocument/2006/relationships/hyperlink" Target="https://my.zakupki.prom.ua/remote/dispatcher/state_contracting_view/11892334" TargetMode="External"/><Relationship Id="rId181" Type="http://schemas.openxmlformats.org/officeDocument/2006/relationships/hyperlink" Target="https://my.zakupki.prom.ua/remote/dispatcher/state_purchase_view/21546997" TargetMode="External"/><Relationship Id="rId402" Type="http://schemas.openxmlformats.org/officeDocument/2006/relationships/hyperlink" Target="https://my.zakupki.prom.ua/remote/dispatcher/state_contracting_view/11564847" TargetMode="External"/><Relationship Id="rId847" Type="http://schemas.openxmlformats.org/officeDocument/2006/relationships/hyperlink" Target="https://my.zakupki.prom.ua/remote/dispatcher/state_purchase_view/38577053" TargetMode="External"/><Relationship Id="rId279" Type="http://schemas.openxmlformats.org/officeDocument/2006/relationships/hyperlink" Target="https://my.zakupki.prom.ua/remote/dispatcher/state_purchase_view/23791916" TargetMode="External"/><Relationship Id="rId486" Type="http://schemas.openxmlformats.org/officeDocument/2006/relationships/hyperlink" Target="https://my.zakupki.prom.ua/remote/dispatcher/state_contracting_view/11280961" TargetMode="External"/><Relationship Id="rId693" Type="http://schemas.openxmlformats.org/officeDocument/2006/relationships/hyperlink" Target="https://my.zakupki.prom.ua/remote/dispatcher/state_purchase_view/38407034" TargetMode="External"/><Relationship Id="rId707" Type="http://schemas.openxmlformats.org/officeDocument/2006/relationships/hyperlink" Target="https://my.zakupki.prom.ua/remote/dispatcher/state_purchase_view/36748141" TargetMode="External"/><Relationship Id="rId914" Type="http://schemas.openxmlformats.org/officeDocument/2006/relationships/hyperlink" Target="https://my.zakupki.prom.ua/remote/dispatcher/state_contracting_view/13678713" TargetMode="External"/><Relationship Id="rId43" Type="http://schemas.openxmlformats.org/officeDocument/2006/relationships/hyperlink" Target="https://my.zakupki.prom.ua/remote/dispatcher/state_contracting_view/16417097" TargetMode="External"/><Relationship Id="rId139" Type="http://schemas.openxmlformats.org/officeDocument/2006/relationships/hyperlink" Target="https://my.zakupki.prom.ua/remote/dispatcher/state_purchase_view/18523835" TargetMode="External"/><Relationship Id="rId346" Type="http://schemas.openxmlformats.org/officeDocument/2006/relationships/hyperlink" Target="https://my.zakupki.prom.ua/remote/dispatcher/state_contracting_view/8907234" TargetMode="External"/><Relationship Id="rId553" Type="http://schemas.openxmlformats.org/officeDocument/2006/relationships/hyperlink" Target="https://my.zakupki.prom.ua/remote/dispatcher/state_purchase_view/33582255" TargetMode="External"/><Relationship Id="rId760" Type="http://schemas.openxmlformats.org/officeDocument/2006/relationships/hyperlink" Target="https://my.zakupki.prom.ua/remote/dispatcher/state_contracting_view/14417424" TargetMode="External"/><Relationship Id="rId192" Type="http://schemas.openxmlformats.org/officeDocument/2006/relationships/hyperlink" Target="https://my.zakupki.prom.ua/remote/dispatcher/state_contracting_view/5629340" TargetMode="External"/><Relationship Id="rId206" Type="http://schemas.openxmlformats.org/officeDocument/2006/relationships/hyperlink" Target="https://my.zakupki.prom.ua/remote/dispatcher/state_contracting_view/4774156" TargetMode="External"/><Relationship Id="rId413" Type="http://schemas.openxmlformats.org/officeDocument/2006/relationships/hyperlink" Target="https://my.zakupki.prom.ua/remote/dispatcher/state_purchase_view/24966888" TargetMode="External"/><Relationship Id="rId858" Type="http://schemas.openxmlformats.org/officeDocument/2006/relationships/hyperlink" Target="https://my.zakupki.prom.ua/remote/dispatcher/state_contracting_view/14759363" TargetMode="External"/><Relationship Id="rId497" Type="http://schemas.openxmlformats.org/officeDocument/2006/relationships/hyperlink" Target="https://my.zakupki.prom.ua/remote/dispatcher/state_purchase_view/30190574" TargetMode="External"/><Relationship Id="rId620" Type="http://schemas.openxmlformats.org/officeDocument/2006/relationships/hyperlink" Target="https://my.zakupki.prom.ua/remote/dispatcher/state_contracting_view/8560349" TargetMode="External"/><Relationship Id="rId718" Type="http://schemas.openxmlformats.org/officeDocument/2006/relationships/hyperlink" Target="https://my.zakupki.prom.ua/remote/dispatcher/state_contracting_view/14081039" TargetMode="External"/><Relationship Id="rId925" Type="http://schemas.openxmlformats.org/officeDocument/2006/relationships/hyperlink" Target="https://my.zakupki.prom.ua/remote/dispatcher/state_purchase_view/36311256" TargetMode="External"/><Relationship Id="rId357" Type="http://schemas.openxmlformats.org/officeDocument/2006/relationships/hyperlink" Target="https://my.zakupki.prom.ua/remote/dispatcher/state_purchase_view/24901008" TargetMode="External"/><Relationship Id="rId54" Type="http://schemas.openxmlformats.org/officeDocument/2006/relationships/hyperlink" Target="https://my.zakupki.prom.ua/remote/dispatcher/state_contracting_view/1530696" TargetMode="External"/><Relationship Id="rId217" Type="http://schemas.openxmlformats.org/officeDocument/2006/relationships/hyperlink" Target="https://my.zakupki.prom.ua/remote/dispatcher/state_purchase_view/22688456" TargetMode="External"/><Relationship Id="rId564" Type="http://schemas.openxmlformats.org/officeDocument/2006/relationships/hyperlink" Target="https://my.zakupki.prom.ua/remote/dispatcher/state_contracting_view/8161961" TargetMode="External"/><Relationship Id="rId771" Type="http://schemas.openxmlformats.org/officeDocument/2006/relationships/hyperlink" Target="https://my.zakupki.prom.ua/remote/dispatcher/state_purchase_view/38877583" TargetMode="External"/><Relationship Id="rId869" Type="http://schemas.openxmlformats.org/officeDocument/2006/relationships/hyperlink" Target="https://my.zakupki.prom.ua/remote/dispatcher/state_purchase_view/34651052" TargetMode="External"/><Relationship Id="rId424" Type="http://schemas.openxmlformats.org/officeDocument/2006/relationships/hyperlink" Target="https://my.zakupki.prom.ua/remote/dispatcher/state_contracting_view/11557646" TargetMode="External"/><Relationship Id="rId631" Type="http://schemas.openxmlformats.org/officeDocument/2006/relationships/hyperlink" Target="https://my.zakupki.prom.ua/remote/dispatcher/state_purchase_view/25058212" TargetMode="External"/><Relationship Id="rId729" Type="http://schemas.openxmlformats.org/officeDocument/2006/relationships/hyperlink" Target="https://my.zakupki.prom.ua/remote/dispatcher/state_purchase_view/37662416" TargetMode="External"/><Relationship Id="rId270" Type="http://schemas.openxmlformats.org/officeDocument/2006/relationships/hyperlink" Target="https://my.zakupki.prom.ua/remote/dispatcher/state_contracting_view/7260386" TargetMode="External"/><Relationship Id="rId936" Type="http://schemas.openxmlformats.org/officeDocument/2006/relationships/hyperlink" Target="https://my.zakupki.prom.ua/remote/dispatcher/state_contracting_view/12836919" TargetMode="External"/><Relationship Id="rId65" Type="http://schemas.openxmlformats.org/officeDocument/2006/relationships/hyperlink" Target="https://my.zakupki.prom.ua/remote/dispatcher/state_purchase_view/9044538" TargetMode="External"/><Relationship Id="rId130" Type="http://schemas.openxmlformats.org/officeDocument/2006/relationships/hyperlink" Target="https://my.zakupki.prom.ua/remote/dispatcher/state_contracting_view/4856753" TargetMode="External"/><Relationship Id="rId368" Type="http://schemas.openxmlformats.org/officeDocument/2006/relationships/hyperlink" Target="https://my.zakupki.prom.ua/remote/dispatcher/state_contracting_view/11190008" TargetMode="External"/><Relationship Id="rId575" Type="http://schemas.openxmlformats.org/officeDocument/2006/relationships/hyperlink" Target="https://my.zakupki.prom.ua/remote/dispatcher/state_purchase_view/25254966" TargetMode="External"/><Relationship Id="rId782" Type="http://schemas.openxmlformats.org/officeDocument/2006/relationships/hyperlink" Target="https://my.zakupki.prom.ua/remote/dispatcher/state_contracting_view/12655426" TargetMode="External"/><Relationship Id="rId228" Type="http://schemas.openxmlformats.org/officeDocument/2006/relationships/hyperlink" Target="https://my.zakupki.prom.ua/remote/dispatcher/state_contracting_view/5389946" TargetMode="External"/><Relationship Id="rId435" Type="http://schemas.openxmlformats.org/officeDocument/2006/relationships/hyperlink" Target="https://my.zakupki.prom.ua/remote/dispatcher/state_purchase_view/23835806" TargetMode="External"/><Relationship Id="rId642" Type="http://schemas.openxmlformats.org/officeDocument/2006/relationships/hyperlink" Target="https://my.zakupki.prom.ua/remote/dispatcher/state_contracting_view/8047667" TargetMode="External"/><Relationship Id="rId281" Type="http://schemas.openxmlformats.org/officeDocument/2006/relationships/hyperlink" Target="https://my.zakupki.prom.ua/remote/dispatcher/state_purchase_view/23793224" TargetMode="External"/><Relationship Id="rId502" Type="http://schemas.openxmlformats.org/officeDocument/2006/relationships/hyperlink" Target="https://my.zakupki.prom.ua/remote/dispatcher/state_contracting_view/8456203" TargetMode="External"/><Relationship Id="rId76" Type="http://schemas.openxmlformats.org/officeDocument/2006/relationships/hyperlink" Target="https://my.zakupki.prom.ua/remote/dispatcher/state_contracting_view/2672422" TargetMode="External"/><Relationship Id="rId141" Type="http://schemas.openxmlformats.org/officeDocument/2006/relationships/hyperlink" Target="https://my.zakupki.prom.ua/remote/dispatcher/state_purchase_view/15378986" TargetMode="External"/><Relationship Id="rId379" Type="http://schemas.openxmlformats.org/officeDocument/2006/relationships/hyperlink" Target="https://my.zakupki.prom.ua/remote/dispatcher/state_purchase_view/29654471" TargetMode="External"/><Relationship Id="rId586" Type="http://schemas.openxmlformats.org/officeDocument/2006/relationships/hyperlink" Target="https://my.zakupki.prom.ua/remote/dispatcher/state_contracting_view/8524403" TargetMode="External"/><Relationship Id="rId793" Type="http://schemas.openxmlformats.org/officeDocument/2006/relationships/hyperlink" Target="https://my.zakupki.prom.ua/remote/dispatcher/state_purchase_view/35760675" TargetMode="External"/><Relationship Id="rId807" Type="http://schemas.openxmlformats.org/officeDocument/2006/relationships/hyperlink" Target="https://my.zakupki.prom.ua/remote/dispatcher/state_purchase_view/36312325" TargetMode="External"/><Relationship Id="rId7" Type="http://schemas.openxmlformats.org/officeDocument/2006/relationships/hyperlink" Target="https://my.zakupki.prom.ua/remote/dispatcher/state_purchase_view/41469638" TargetMode="External"/><Relationship Id="rId239" Type="http://schemas.openxmlformats.org/officeDocument/2006/relationships/hyperlink" Target="https://my.zakupki.prom.ua/remote/dispatcher/state_purchase_view/17424381" TargetMode="External"/><Relationship Id="rId446" Type="http://schemas.openxmlformats.org/officeDocument/2006/relationships/hyperlink" Target="https://my.zakupki.prom.ua/remote/dispatcher/state_contracting_view/8164299" TargetMode="External"/><Relationship Id="rId653" Type="http://schemas.openxmlformats.org/officeDocument/2006/relationships/hyperlink" Target="https://my.zakupki.prom.ua/remote/dispatcher/state_purchase_view/25255488" TargetMode="External"/><Relationship Id="rId292" Type="http://schemas.openxmlformats.org/officeDocument/2006/relationships/hyperlink" Target="https://my.zakupki.prom.ua/remote/dispatcher/state_contracting_view/8716277" TargetMode="External"/><Relationship Id="rId306" Type="http://schemas.openxmlformats.org/officeDocument/2006/relationships/hyperlink" Target="https://my.zakupki.prom.ua/remote/dispatcher/state_contracting_view/11721366" TargetMode="External"/><Relationship Id="rId860" Type="http://schemas.openxmlformats.org/officeDocument/2006/relationships/hyperlink" Target="https://my.zakupki.prom.ua/remote/dispatcher/state_contracting_view/12549305" TargetMode="External"/><Relationship Id="rId87" Type="http://schemas.openxmlformats.org/officeDocument/2006/relationships/hyperlink" Target="https://my.zakupki.prom.ua/remote/dispatcher/state_purchase_view/12144016" TargetMode="External"/><Relationship Id="rId513" Type="http://schemas.openxmlformats.org/officeDocument/2006/relationships/hyperlink" Target="https://my.zakupki.prom.ua/remote/dispatcher/state_purchase_view/24967572" TargetMode="External"/><Relationship Id="rId597" Type="http://schemas.openxmlformats.org/officeDocument/2006/relationships/hyperlink" Target="https://my.zakupki.prom.ua/remote/dispatcher/state_purchase_view/23066394" TargetMode="External"/><Relationship Id="rId720" Type="http://schemas.openxmlformats.org/officeDocument/2006/relationships/hyperlink" Target="https://my.zakupki.prom.ua/remote/dispatcher/state_contracting_view/13098423" TargetMode="External"/><Relationship Id="rId818" Type="http://schemas.openxmlformats.org/officeDocument/2006/relationships/hyperlink" Target="https://my.zakupki.prom.ua/remote/dispatcher/state_contracting_view/13641968" TargetMode="External"/><Relationship Id="rId152" Type="http://schemas.openxmlformats.org/officeDocument/2006/relationships/hyperlink" Target="https://my.zakupki.prom.ua/remote/dispatcher/state_contracting_view/6315123" TargetMode="External"/><Relationship Id="rId457" Type="http://schemas.openxmlformats.org/officeDocument/2006/relationships/hyperlink" Target="https://my.zakupki.prom.ua/remote/dispatcher/state_purchase_view/26614669" TargetMode="External"/><Relationship Id="rId664" Type="http://schemas.openxmlformats.org/officeDocument/2006/relationships/hyperlink" Target="https://my.zakupki.prom.ua/remote/dispatcher/state_contracting_view/11189563" TargetMode="External"/><Relationship Id="rId871" Type="http://schemas.openxmlformats.org/officeDocument/2006/relationships/hyperlink" Target="https://my.zakupki.prom.ua/remote/dispatcher/state_purchase_view/38577595" TargetMode="External"/><Relationship Id="rId14" Type="http://schemas.openxmlformats.org/officeDocument/2006/relationships/hyperlink" Target="https://my.zakupki.prom.ua/remote/dispatcher/state_contracting_view/17041374" TargetMode="External"/><Relationship Id="rId317" Type="http://schemas.openxmlformats.org/officeDocument/2006/relationships/hyperlink" Target="https://my.zakupki.prom.ua/remote/dispatcher/state_purchase_view/25887745" TargetMode="External"/><Relationship Id="rId524" Type="http://schemas.openxmlformats.org/officeDocument/2006/relationships/hyperlink" Target="https://my.zakupki.prom.ua/remote/dispatcher/state_contracting_view/8560798" TargetMode="External"/><Relationship Id="rId731" Type="http://schemas.openxmlformats.org/officeDocument/2006/relationships/hyperlink" Target="https://my.zakupki.prom.ua/remote/dispatcher/state_purchase_view/37674506" TargetMode="External"/><Relationship Id="rId98" Type="http://schemas.openxmlformats.org/officeDocument/2006/relationships/hyperlink" Target="https://my.zakupki.prom.ua/remote/dispatcher/state_contracting_view/4279000" TargetMode="External"/><Relationship Id="rId163" Type="http://schemas.openxmlformats.org/officeDocument/2006/relationships/hyperlink" Target="https://my.zakupki.prom.ua/remote/dispatcher/state_purchase_view/20525355" TargetMode="External"/><Relationship Id="rId370" Type="http://schemas.openxmlformats.org/officeDocument/2006/relationships/hyperlink" Target="https://my.zakupki.prom.ua/remote/dispatcher/state_contracting_view/9119661" TargetMode="External"/><Relationship Id="rId829" Type="http://schemas.openxmlformats.org/officeDocument/2006/relationships/hyperlink" Target="https://my.zakupki.prom.ua/remote/dispatcher/state_purchase_view/39366400" TargetMode="External"/><Relationship Id="rId230" Type="http://schemas.openxmlformats.org/officeDocument/2006/relationships/hyperlink" Target="https://my.zakupki.prom.ua/remote/dispatcher/state_contracting_view/6743948" TargetMode="External"/><Relationship Id="rId468" Type="http://schemas.openxmlformats.org/officeDocument/2006/relationships/hyperlink" Target="https://my.zakupki.prom.ua/remote/dispatcher/state_contracting_view/10482637" TargetMode="External"/><Relationship Id="rId675" Type="http://schemas.openxmlformats.org/officeDocument/2006/relationships/hyperlink" Target="https://my.zakupki.prom.ua/remote/dispatcher/state_purchase_view/28733035" TargetMode="External"/><Relationship Id="rId882" Type="http://schemas.openxmlformats.org/officeDocument/2006/relationships/hyperlink" Target="https://my.zakupki.prom.ua/remote/dispatcher/state_contracting_view/14529037" TargetMode="External"/><Relationship Id="rId25" Type="http://schemas.openxmlformats.org/officeDocument/2006/relationships/hyperlink" Target="https://my.zakupki.prom.ua/remote/dispatcher/state_purchase_view/41466464" TargetMode="External"/><Relationship Id="rId328" Type="http://schemas.openxmlformats.org/officeDocument/2006/relationships/hyperlink" Target="https://my.zakupki.prom.ua/remote/dispatcher/state_contracting_view/7874238" TargetMode="External"/><Relationship Id="rId535" Type="http://schemas.openxmlformats.org/officeDocument/2006/relationships/hyperlink" Target="https://my.zakupki.prom.ua/remote/dispatcher/state_purchase_view/23802242" TargetMode="External"/><Relationship Id="rId742" Type="http://schemas.openxmlformats.org/officeDocument/2006/relationships/hyperlink" Target="https://my.zakupki.prom.ua/remote/dispatcher/state_contracting_view/14741485" TargetMode="External"/><Relationship Id="rId174" Type="http://schemas.openxmlformats.org/officeDocument/2006/relationships/hyperlink" Target="https://my.zakupki.prom.ua/remote/dispatcher/state_contracting_view/6322232" TargetMode="External"/><Relationship Id="rId381" Type="http://schemas.openxmlformats.org/officeDocument/2006/relationships/hyperlink" Target="https://my.zakupki.prom.ua/remote/dispatcher/state_purchase_view/31497404" TargetMode="External"/><Relationship Id="rId602" Type="http://schemas.openxmlformats.org/officeDocument/2006/relationships/hyperlink" Target="https://my.zakupki.prom.ua/remote/dispatcher/state_contracting_view/10786099" TargetMode="External"/><Relationship Id="rId241" Type="http://schemas.openxmlformats.org/officeDocument/2006/relationships/hyperlink" Target="https://my.zakupki.prom.ua/remote/dispatcher/state_purchase_view/19664625" TargetMode="External"/><Relationship Id="rId479" Type="http://schemas.openxmlformats.org/officeDocument/2006/relationships/hyperlink" Target="https://my.zakupki.prom.ua/remote/dispatcher/state_purchase_view/28246673" TargetMode="External"/><Relationship Id="rId686" Type="http://schemas.openxmlformats.org/officeDocument/2006/relationships/hyperlink" Target="https://my.zakupki.prom.ua/remote/dispatcher/state_contracting_view/14313479" TargetMode="External"/><Relationship Id="rId893" Type="http://schemas.openxmlformats.org/officeDocument/2006/relationships/hyperlink" Target="https://my.zakupki.prom.ua/remote/dispatcher/state_purchase_view/39220675" TargetMode="External"/><Relationship Id="rId907" Type="http://schemas.openxmlformats.org/officeDocument/2006/relationships/hyperlink" Target="https://my.zakupki.prom.ua/remote/dispatcher/state_purchase_view/35760658" TargetMode="External"/><Relationship Id="rId36" Type="http://schemas.openxmlformats.org/officeDocument/2006/relationships/hyperlink" Target="https://my.zakupki.prom.ua/remote/dispatcher/state_purchase_view/40718305" TargetMode="External"/><Relationship Id="rId283" Type="http://schemas.openxmlformats.org/officeDocument/2006/relationships/hyperlink" Target="https://my.zakupki.prom.ua/remote/dispatcher/state_purchase_view/25043642" TargetMode="External"/><Relationship Id="rId339" Type="http://schemas.openxmlformats.org/officeDocument/2006/relationships/hyperlink" Target="https://my.zakupki.prom.ua/remote/dispatcher/state_purchase_view/30782727" TargetMode="External"/><Relationship Id="rId490" Type="http://schemas.openxmlformats.org/officeDocument/2006/relationships/hyperlink" Target="https://my.zakupki.prom.ua/remote/dispatcher/state_contracting_view/11720819" TargetMode="External"/><Relationship Id="rId504" Type="http://schemas.openxmlformats.org/officeDocument/2006/relationships/hyperlink" Target="https://my.zakupki.prom.ua/remote/dispatcher/state_contracting_view/8456802" TargetMode="External"/><Relationship Id="rId546" Type="http://schemas.openxmlformats.org/officeDocument/2006/relationships/hyperlink" Target="https://my.zakupki.prom.ua/remote/dispatcher/state_contracting_view/10950779" TargetMode="External"/><Relationship Id="rId711" Type="http://schemas.openxmlformats.org/officeDocument/2006/relationships/hyperlink" Target="https://my.zakupki.prom.ua/remote/dispatcher/state_purchase_view/36137647" TargetMode="External"/><Relationship Id="rId753" Type="http://schemas.openxmlformats.org/officeDocument/2006/relationships/hyperlink" Target="https://my.zakupki.prom.ua/remote/dispatcher/state_purchase_view/39609998" TargetMode="External"/><Relationship Id="rId78" Type="http://schemas.openxmlformats.org/officeDocument/2006/relationships/hyperlink" Target="https://my.zakupki.prom.ua/remote/dispatcher/state_contracting_view/2672386" TargetMode="External"/><Relationship Id="rId101" Type="http://schemas.openxmlformats.org/officeDocument/2006/relationships/hyperlink" Target="https://my.zakupki.prom.ua/remote/dispatcher/state_purchase_view/18109402" TargetMode="External"/><Relationship Id="rId143" Type="http://schemas.openxmlformats.org/officeDocument/2006/relationships/hyperlink" Target="https://my.zakupki.prom.ua/remote/dispatcher/state_purchase_view/15286229" TargetMode="External"/><Relationship Id="rId185" Type="http://schemas.openxmlformats.org/officeDocument/2006/relationships/hyperlink" Target="https://my.zakupki.prom.ua/remote/dispatcher/state_purchase_view/20971915" TargetMode="External"/><Relationship Id="rId350" Type="http://schemas.openxmlformats.org/officeDocument/2006/relationships/hyperlink" Target="https://my.zakupki.prom.ua/remote/dispatcher/state_contracting_view/7572053" TargetMode="External"/><Relationship Id="rId406" Type="http://schemas.openxmlformats.org/officeDocument/2006/relationships/hyperlink" Target="https://my.zakupki.prom.ua/remote/dispatcher/state_contracting_view/8164456" TargetMode="External"/><Relationship Id="rId588" Type="http://schemas.openxmlformats.org/officeDocument/2006/relationships/hyperlink" Target="https://my.zakupki.prom.ua/remote/dispatcher/state_contracting_view/8803866" TargetMode="External"/><Relationship Id="rId795" Type="http://schemas.openxmlformats.org/officeDocument/2006/relationships/hyperlink" Target="https://my.zakupki.prom.ua/remote/dispatcher/state_purchase_view/35062579" TargetMode="External"/><Relationship Id="rId809" Type="http://schemas.openxmlformats.org/officeDocument/2006/relationships/hyperlink" Target="https://my.zakupki.prom.ua/remote/dispatcher/state_purchase_view/36307963" TargetMode="External"/><Relationship Id="rId9" Type="http://schemas.openxmlformats.org/officeDocument/2006/relationships/hyperlink" Target="https://my.zakupki.prom.ua/remote/dispatcher/state_purchase_view/42758026" TargetMode="External"/><Relationship Id="rId210" Type="http://schemas.openxmlformats.org/officeDocument/2006/relationships/hyperlink" Target="https://my.zakupki.prom.ua/remote/dispatcher/state_contracting_view/4491451" TargetMode="External"/><Relationship Id="rId392" Type="http://schemas.openxmlformats.org/officeDocument/2006/relationships/hyperlink" Target="https://my.zakupki.prom.ua/remote/dispatcher/state_contracting_view/11559177" TargetMode="External"/><Relationship Id="rId448" Type="http://schemas.openxmlformats.org/officeDocument/2006/relationships/hyperlink" Target="https://my.zakupki.prom.ua/remote/dispatcher/state_contracting_view/8649116" TargetMode="External"/><Relationship Id="rId613" Type="http://schemas.openxmlformats.org/officeDocument/2006/relationships/hyperlink" Target="https://my.zakupki.prom.ua/remote/dispatcher/state_purchase_view/33429547" TargetMode="External"/><Relationship Id="rId655" Type="http://schemas.openxmlformats.org/officeDocument/2006/relationships/hyperlink" Target="https://my.zakupki.prom.ua/remote/dispatcher/state_purchase_view/25057542" TargetMode="External"/><Relationship Id="rId697" Type="http://schemas.openxmlformats.org/officeDocument/2006/relationships/hyperlink" Target="https://my.zakupki.prom.ua/remote/dispatcher/state_purchase_view/38576009" TargetMode="External"/><Relationship Id="rId820" Type="http://schemas.openxmlformats.org/officeDocument/2006/relationships/hyperlink" Target="https://my.zakupki.prom.ua/remote/dispatcher/state_contracting_view/13331402" TargetMode="External"/><Relationship Id="rId862" Type="http://schemas.openxmlformats.org/officeDocument/2006/relationships/hyperlink" Target="https://my.zakupki.prom.ua/remote/dispatcher/state_contracting_view/13058743" TargetMode="External"/><Relationship Id="rId918" Type="http://schemas.openxmlformats.org/officeDocument/2006/relationships/hyperlink" Target="https://my.zakupki.prom.ua/remote/dispatcher/state_contracting_view/14740325" TargetMode="External"/><Relationship Id="rId252" Type="http://schemas.openxmlformats.org/officeDocument/2006/relationships/hyperlink" Target="https://my.zakupki.prom.ua/remote/dispatcher/state_contracting_view/3718904" TargetMode="External"/><Relationship Id="rId294" Type="http://schemas.openxmlformats.org/officeDocument/2006/relationships/hyperlink" Target="https://my.zakupki.prom.ua/remote/dispatcher/state_contracting_view/11687524" TargetMode="External"/><Relationship Id="rId308" Type="http://schemas.openxmlformats.org/officeDocument/2006/relationships/hyperlink" Target="https://my.zakupki.prom.ua/remote/dispatcher/state_contracting_view/11719750" TargetMode="External"/><Relationship Id="rId515" Type="http://schemas.openxmlformats.org/officeDocument/2006/relationships/hyperlink" Target="https://my.zakupki.prom.ua/remote/dispatcher/state_purchase_view/25042846" TargetMode="External"/><Relationship Id="rId722" Type="http://schemas.openxmlformats.org/officeDocument/2006/relationships/hyperlink" Target="https://my.zakupki.prom.ua/remote/dispatcher/state_contracting_view/14566590" TargetMode="External"/><Relationship Id="rId47" Type="http://schemas.openxmlformats.org/officeDocument/2006/relationships/hyperlink" Target="https://my.zakupki.prom.ua/remote/dispatcher/state_contracting_view/16418620" TargetMode="External"/><Relationship Id="rId89" Type="http://schemas.openxmlformats.org/officeDocument/2006/relationships/hyperlink" Target="https://my.zakupki.prom.ua/remote/dispatcher/state_purchase_view/13688016" TargetMode="External"/><Relationship Id="rId112" Type="http://schemas.openxmlformats.org/officeDocument/2006/relationships/hyperlink" Target="https://my.zakupki.prom.ua/remote/dispatcher/state_contracting_view/4326087" TargetMode="External"/><Relationship Id="rId154" Type="http://schemas.openxmlformats.org/officeDocument/2006/relationships/hyperlink" Target="https://my.zakupki.prom.ua/remote/dispatcher/state_contracting_view/6313904" TargetMode="External"/><Relationship Id="rId361" Type="http://schemas.openxmlformats.org/officeDocument/2006/relationships/hyperlink" Target="https://my.zakupki.prom.ua/remote/dispatcher/state_purchase_view/31796421" TargetMode="External"/><Relationship Id="rId557" Type="http://schemas.openxmlformats.org/officeDocument/2006/relationships/hyperlink" Target="https://my.zakupki.prom.ua/remote/dispatcher/state_purchase_view/32300886" TargetMode="External"/><Relationship Id="rId599" Type="http://schemas.openxmlformats.org/officeDocument/2006/relationships/hyperlink" Target="https://my.zakupki.prom.ua/remote/dispatcher/state_purchase_view/31529311" TargetMode="External"/><Relationship Id="rId764" Type="http://schemas.openxmlformats.org/officeDocument/2006/relationships/hyperlink" Target="https://my.zakupki.prom.ua/remote/dispatcher/state_contracting_view/14555037" TargetMode="External"/><Relationship Id="rId196" Type="http://schemas.openxmlformats.org/officeDocument/2006/relationships/hyperlink" Target="https://my.zakupki.prom.ua/remote/dispatcher/state_contracting_view/6937588" TargetMode="External"/><Relationship Id="rId417" Type="http://schemas.openxmlformats.org/officeDocument/2006/relationships/hyperlink" Target="https://my.zakupki.prom.ua/remote/dispatcher/state_purchase_view/26256258" TargetMode="External"/><Relationship Id="rId459" Type="http://schemas.openxmlformats.org/officeDocument/2006/relationships/hyperlink" Target="https://my.zakupki.prom.ua/remote/dispatcher/state_purchase_view/26513742" TargetMode="External"/><Relationship Id="rId624" Type="http://schemas.openxmlformats.org/officeDocument/2006/relationships/hyperlink" Target="https://my.zakupki.prom.ua/remote/dispatcher/state_contracting_view/8864111" TargetMode="External"/><Relationship Id="rId666" Type="http://schemas.openxmlformats.org/officeDocument/2006/relationships/hyperlink" Target="https://my.zakupki.prom.ua/remote/dispatcher/state_contracting_view/8716675" TargetMode="External"/><Relationship Id="rId831" Type="http://schemas.openxmlformats.org/officeDocument/2006/relationships/hyperlink" Target="https://my.zakupki.prom.ua/remote/dispatcher/state_purchase_view/37015092" TargetMode="External"/><Relationship Id="rId873" Type="http://schemas.openxmlformats.org/officeDocument/2006/relationships/hyperlink" Target="https://my.zakupki.prom.ua/remote/dispatcher/state_purchase_view/38152923" TargetMode="External"/><Relationship Id="rId16" Type="http://schemas.openxmlformats.org/officeDocument/2006/relationships/hyperlink" Target="https://my.zakupki.prom.ua/remote/dispatcher/state_contracting_view/17043024" TargetMode="External"/><Relationship Id="rId221" Type="http://schemas.openxmlformats.org/officeDocument/2006/relationships/hyperlink" Target="https://my.zakupki.prom.ua/remote/dispatcher/state_purchase_view/18102521" TargetMode="External"/><Relationship Id="rId263" Type="http://schemas.openxmlformats.org/officeDocument/2006/relationships/hyperlink" Target="https://my.zakupki.prom.ua/remote/dispatcher/state_purchase_view/22688454" TargetMode="External"/><Relationship Id="rId319" Type="http://schemas.openxmlformats.org/officeDocument/2006/relationships/hyperlink" Target="https://my.zakupki.prom.ua/remote/dispatcher/state_purchase_view/26491582" TargetMode="External"/><Relationship Id="rId470" Type="http://schemas.openxmlformats.org/officeDocument/2006/relationships/hyperlink" Target="https://my.zakupki.prom.ua/remote/dispatcher/state_contracting_view/10588057" TargetMode="External"/><Relationship Id="rId526" Type="http://schemas.openxmlformats.org/officeDocument/2006/relationships/hyperlink" Target="https://my.zakupki.prom.ua/remote/dispatcher/state_contracting_view/8560954" TargetMode="External"/><Relationship Id="rId929" Type="http://schemas.openxmlformats.org/officeDocument/2006/relationships/hyperlink" Target="https://my.zakupki.prom.ua/remote/dispatcher/state_purchase_view/34188464" TargetMode="External"/><Relationship Id="rId58" Type="http://schemas.openxmlformats.org/officeDocument/2006/relationships/hyperlink" Target="https://my.zakupki.prom.ua/remote/dispatcher/state_contracting_view/1530302" TargetMode="External"/><Relationship Id="rId123" Type="http://schemas.openxmlformats.org/officeDocument/2006/relationships/hyperlink" Target="https://my.zakupki.prom.ua/remote/dispatcher/state_purchase_view/17883613" TargetMode="External"/><Relationship Id="rId330" Type="http://schemas.openxmlformats.org/officeDocument/2006/relationships/hyperlink" Target="https://my.zakupki.prom.ua/remote/dispatcher/state_contracting_view/7602016" TargetMode="External"/><Relationship Id="rId568" Type="http://schemas.openxmlformats.org/officeDocument/2006/relationships/hyperlink" Target="https://my.zakupki.prom.ua/remote/dispatcher/state_contracting_view/8122281" TargetMode="External"/><Relationship Id="rId733" Type="http://schemas.openxmlformats.org/officeDocument/2006/relationships/hyperlink" Target="https://my.zakupki.prom.ua/remote/dispatcher/state_purchase_view/36916833" TargetMode="External"/><Relationship Id="rId775" Type="http://schemas.openxmlformats.org/officeDocument/2006/relationships/hyperlink" Target="https://my.zakupki.prom.ua/remote/dispatcher/state_purchase_view/38418304" TargetMode="External"/><Relationship Id="rId940" Type="http://schemas.openxmlformats.org/officeDocument/2006/relationships/printerSettings" Target="../printerSettings/printerSettings1.bin"/><Relationship Id="rId165" Type="http://schemas.openxmlformats.org/officeDocument/2006/relationships/hyperlink" Target="https://my.zakupki.prom.ua/remote/dispatcher/state_purchase_view/20109914" TargetMode="External"/><Relationship Id="rId372" Type="http://schemas.openxmlformats.org/officeDocument/2006/relationships/hyperlink" Target="https://my.zakupki.prom.ua/remote/dispatcher/state_contracting_view/9041756" TargetMode="External"/><Relationship Id="rId428" Type="http://schemas.openxmlformats.org/officeDocument/2006/relationships/hyperlink" Target="https://my.zakupki.prom.ua/remote/dispatcher/state_contracting_view/11564990" TargetMode="External"/><Relationship Id="rId635" Type="http://schemas.openxmlformats.org/officeDocument/2006/relationships/hyperlink" Target="https://my.zakupki.prom.ua/remote/dispatcher/state_purchase_view/25042610" TargetMode="External"/><Relationship Id="rId677" Type="http://schemas.openxmlformats.org/officeDocument/2006/relationships/hyperlink" Target="https://my.zakupki.prom.ua/remote/dispatcher/state_purchase_view/34820768" TargetMode="External"/><Relationship Id="rId800" Type="http://schemas.openxmlformats.org/officeDocument/2006/relationships/hyperlink" Target="https://my.zakupki.prom.ua/remote/dispatcher/state_contracting_view/14388676" TargetMode="External"/><Relationship Id="rId842" Type="http://schemas.openxmlformats.org/officeDocument/2006/relationships/hyperlink" Target="https://my.zakupki.prom.ua/remote/dispatcher/state_contracting_view/13194767" TargetMode="External"/><Relationship Id="rId232" Type="http://schemas.openxmlformats.org/officeDocument/2006/relationships/hyperlink" Target="https://my.zakupki.prom.ua/remote/dispatcher/state_contracting_view/6559462" TargetMode="External"/><Relationship Id="rId274" Type="http://schemas.openxmlformats.org/officeDocument/2006/relationships/hyperlink" Target="https://my.zakupki.prom.ua/remote/dispatcher/state_contracting_view/7248881" TargetMode="External"/><Relationship Id="rId481" Type="http://schemas.openxmlformats.org/officeDocument/2006/relationships/hyperlink" Target="https://my.zakupki.prom.ua/remote/dispatcher/state_purchase_view/32580977" TargetMode="External"/><Relationship Id="rId702" Type="http://schemas.openxmlformats.org/officeDocument/2006/relationships/hyperlink" Target="https://my.zakupki.prom.ua/remote/dispatcher/state_contracting_view/13679880" TargetMode="External"/><Relationship Id="rId884" Type="http://schemas.openxmlformats.org/officeDocument/2006/relationships/hyperlink" Target="https://my.zakupki.prom.ua/remote/dispatcher/state_contracting_view/14611752" TargetMode="External"/><Relationship Id="rId27" Type="http://schemas.openxmlformats.org/officeDocument/2006/relationships/hyperlink" Target="https://my.zakupki.prom.ua/remote/dispatcher/state_purchase_view/42292687" TargetMode="External"/><Relationship Id="rId69" Type="http://schemas.openxmlformats.org/officeDocument/2006/relationships/hyperlink" Target="https://my.zakupki.prom.ua/remote/dispatcher/state_purchase_view/6490515" TargetMode="External"/><Relationship Id="rId134" Type="http://schemas.openxmlformats.org/officeDocument/2006/relationships/hyperlink" Target="https://my.zakupki.prom.ua/remote/dispatcher/state_contracting_view/5132976" TargetMode="External"/><Relationship Id="rId537" Type="http://schemas.openxmlformats.org/officeDocument/2006/relationships/hyperlink" Target="https://my.zakupki.prom.ua/remote/dispatcher/state_purchase_view/23807508" TargetMode="External"/><Relationship Id="rId579" Type="http://schemas.openxmlformats.org/officeDocument/2006/relationships/hyperlink" Target="https://my.zakupki.prom.ua/remote/dispatcher/state_purchase_view/25888708" TargetMode="External"/><Relationship Id="rId744" Type="http://schemas.openxmlformats.org/officeDocument/2006/relationships/hyperlink" Target="https://my.zakupki.prom.ua/remote/dispatcher/state_contracting_view/13108969" TargetMode="External"/><Relationship Id="rId786" Type="http://schemas.openxmlformats.org/officeDocument/2006/relationships/hyperlink" Target="https://my.zakupki.prom.ua/remote/dispatcher/state_contracting_view/13089040" TargetMode="External"/><Relationship Id="rId80" Type="http://schemas.openxmlformats.org/officeDocument/2006/relationships/hyperlink" Target="https://my.zakupki.prom.ua/remote/dispatcher/state_contracting_view/2672310" TargetMode="External"/><Relationship Id="rId176" Type="http://schemas.openxmlformats.org/officeDocument/2006/relationships/hyperlink" Target="https://my.zakupki.prom.ua/remote/dispatcher/state_contracting_view/5756562" TargetMode="External"/><Relationship Id="rId341" Type="http://schemas.openxmlformats.org/officeDocument/2006/relationships/hyperlink" Target="https://my.zakupki.prom.ua/remote/dispatcher/state_purchase_view/32656497" TargetMode="External"/><Relationship Id="rId383" Type="http://schemas.openxmlformats.org/officeDocument/2006/relationships/hyperlink" Target="https://my.zakupki.prom.ua/remote/dispatcher/state_purchase_view/30640943" TargetMode="External"/><Relationship Id="rId439" Type="http://schemas.openxmlformats.org/officeDocument/2006/relationships/hyperlink" Target="https://my.zakupki.prom.ua/remote/dispatcher/state_purchase_view/24822467" TargetMode="External"/><Relationship Id="rId590" Type="http://schemas.openxmlformats.org/officeDocument/2006/relationships/hyperlink" Target="https://my.zakupki.prom.ua/remote/dispatcher/state_contracting_view/7942670" TargetMode="External"/><Relationship Id="rId604" Type="http://schemas.openxmlformats.org/officeDocument/2006/relationships/hyperlink" Target="https://my.zakupki.prom.ua/remote/dispatcher/state_contracting_view/11893277" TargetMode="External"/><Relationship Id="rId646" Type="http://schemas.openxmlformats.org/officeDocument/2006/relationships/hyperlink" Target="https://my.zakupki.prom.ua/remote/dispatcher/state_contracting_view/7936032" TargetMode="External"/><Relationship Id="rId811" Type="http://schemas.openxmlformats.org/officeDocument/2006/relationships/hyperlink" Target="https://my.zakupki.prom.ua/remote/dispatcher/state_purchase_view/36241284" TargetMode="External"/><Relationship Id="rId201" Type="http://schemas.openxmlformats.org/officeDocument/2006/relationships/hyperlink" Target="https://my.zakupki.prom.ua/remote/dispatcher/state_purchase_view/15237184" TargetMode="External"/><Relationship Id="rId243" Type="http://schemas.openxmlformats.org/officeDocument/2006/relationships/hyperlink" Target="https://my.zakupki.prom.ua/remote/dispatcher/state_purchase_view/16593605" TargetMode="External"/><Relationship Id="rId285" Type="http://schemas.openxmlformats.org/officeDocument/2006/relationships/hyperlink" Target="https://my.zakupki.prom.ua/remote/dispatcher/state_purchase_view/25382905" TargetMode="External"/><Relationship Id="rId450" Type="http://schemas.openxmlformats.org/officeDocument/2006/relationships/hyperlink" Target="https://my.zakupki.prom.ua/remote/dispatcher/state_contracting_view/7257110" TargetMode="External"/><Relationship Id="rId506" Type="http://schemas.openxmlformats.org/officeDocument/2006/relationships/hyperlink" Target="https://my.zakupki.prom.ua/remote/dispatcher/state_contracting_view/8384411" TargetMode="External"/><Relationship Id="rId688" Type="http://schemas.openxmlformats.org/officeDocument/2006/relationships/hyperlink" Target="https://my.zakupki.prom.ua/remote/dispatcher/state_contracting_view/14760132" TargetMode="External"/><Relationship Id="rId853" Type="http://schemas.openxmlformats.org/officeDocument/2006/relationships/hyperlink" Target="https://my.zakupki.prom.ua/remote/dispatcher/state_purchase_view/38417032" TargetMode="External"/><Relationship Id="rId895" Type="http://schemas.openxmlformats.org/officeDocument/2006/relationships/hyperlink" Target="https://my.zakupki.prom.ua/remote/dispatcher/state_purchase_view/38038761" TargetMode="External"/><Relationship Id="rId909" Type="http://schemas.openxmlformats.org/officeDocument/2006/relationships/hyperlink" Target="https://my.zakupki.prom.ua/remote/dispatcher/state_purchase_view/34885275" TargetMode="External"/><Relationship Id="rId38" Type="http://schemas.openxmlformats.org/officeDocument/2006/relationships/hyperlink" Target="https://my.zakupki.prom.ua/remote/dispatcher/state_purchase_view/42540790" TargetMode="External"/><Relationship Id="rId103" Type="http://schemas.openxmlformats.org/officeDocument/2006/relationships/hyperlink" Target="https://my.zakupki.prom.ua/remote/dispatcher/state_purchase_view/16778135" TargetMode="External"/><Relationship Id="rId310" Type="http://schemas.openxmlformats.org/officeDocument/2006/relationships/hyperlink" Target="https://my.zakupki.prom.ua/remote/dispatcher/state_contracting_view/11720093" TargetMode="External"/><Relationship Id="rId492" Type="http://schemas.openxmlformats.org/officeDocument/2006/relationships/hyperlink" Target="https://my.zakupki.prom.ua/remote/dispatcher/state_contracting_view/11059457" TargetMode="External"/><Relationship Id="rId548" Type="http://schemas.openxmlformats.org/officeDocument/2006/relationships/hyperlink" Target="https://my.zakupki.prom.ua/remote/dispatcher/state_contracting_view/10951244" TargetMode="External"/><Relationship Id="rId713" Type="http://schemas.openxmlformats.org/officeDocument/2006/relationships/hyperlink" Target="https://my.zakupki.prom.ua/remote/dispatcher/state_purchase_view/35696270" TargetMode="External"/><Relationship Id="rId755" Type="http://schemas.openxmlformats.org/officeDocument/2006/relationships/hyperlink" Target="https://my.zakupki.prom.ua/remote/dispatcher/state_purchase_view/36742558" TargetMode="External"/><Relationship Id="rId797" Type="http://schemas.openxmlformats.org/officeDocument/2006/relationships/hyperlink" Target="https://my.zakupki.prom.ua/remote/dispatcher/state_purchase_view/34134802" TargetMode="External"/><Relationship Id="rId920" Type="http://schemas.openxmlformats.org/officeDocument/2006/relationships/hyperlink" Target="https://my.zakupki.prom.ua/remote/dispatcher/state_contracting_view/13182548" TargetMode="External"/><Relationship Id="rId91" Type="http://schemas.openxmlformats.org/officeDocument/2006/relationships/hyperlink" Target="https://my.zakupki.prom.ua/remote/dispatcher/state_purchase_view/11715457" TargetMode="External"/><Relationship Id="rId145" Type="http://schemas.openxmlformats.org/officeDocument/2006/relationships/hyperlink" Target="https://my.zakupki.prom.ua/remote/dispatcher/state_purchase_view/22355556" TargetMode="External"/><Relationship Id="rId187" Type="http://schemas.openxmlformats.org/officeDocument/2006/relationships/hyperlink" Target="https://my.zakupki.prom.ua/remote/dispatcher/state_purchase_view/20038030" TargetMode="External"/><Relationship Id="rId352" Type="http://schemas.openxmlformats.org/officeDocument/2006/relationships/hyperlink" Target="https://my.zakupki.prom.ua/remote/dispatcher/state_contracting_view/7497093" TargetMode="External"/><Relationship Id="rId394" Type="http://schemas.openxmlformats.org/officeDocument/2006/relationships/hyperlink" Target="https://my.zakupki.prom.ua/remote/dispatcher/state_contracting_view/11627336" TargetMode="External"/><Relationship Id="rId408" Type="http://schemas.openxmlformats.org/officeDocument/2006/relationships/hyperlink" Target="https://my.zakupki.prom.ua/remote/dispatcher/state_contracting_view/8247516" TargetMode="External"/><Relationship Id="rId615" Type="http://schemas.openxmlformats.org/officeDocument/2006/relationships/hyperlink" Target="https://my.zakupki.prom.ua/remote/dispatcher/state_purchase_view/27885590" TargetMode="External"/><Relationship Id="rId822" Type="http://schemas.openxmlformats.org/officeDocument/2006/relationships/hyperlink" Target="https://my.zakupki.prom.ua/remote/dispatcher/state_contracting_view/13270433" TargetMode="External"/><Relationship Id="rId212" Type="http://schemas.openxmlformats.org/officeDocument/2006/relationships/hyperlink" Target="https://my.zakupki.prom.ua/remote/dispatcher/state_contracting_view/4344789" TargetMode="External"/><Relationship Id="rId254" Type="http://schemas.openxmlformats.org/officeDocument/2006/relationships/hyperlink" Target="https://my.zakupki.prom.ua/remote/dispatcher/state_contracting_view/6938748" TargetMode="External"/><Relationship Id="rId657" Type="http://schemas.openxmlformats.org/officeDocument/2006/relationships/hyperlink" Target="https://my.zakupki.prom.ua/remote/dispatcher/state_purchase_view/32765312" TargetMode="External"/><Relationship Id="rId699" Type="http://schemas.openxmlformats.org/officeDocument/2006/relationships/hyperlink" Target="https://my.zakupki.prom.ua/remote/dispatcher/state_purchase_view/38577334" TargetMode="External"/><Relationship Id="rId864" Type="http://schemas.openxmlformats.org/officeDocument/2006/relationships/hyperlink" Target="https://my.zakupki.prom.ua/remote/dispatcher/state_contracting_view/13168964" TargetMode="External"/><Relationship Id="rId49" Type="http://schemas.openxmlformats.org/officeDocument/2006/relationships/hyperlink" Target="https://my.zakupki.prom.ua/remote/dispatcher/state_contracting_view/15163796" TargetMode="External"/><Relationship Id="rId114" Type="http://schemas.openxmlformats.org/officeDocument/2006/relationships/hyperlink" Target="https://my.zakupki.prom.ua/remote/dispatcher/state_contracting_view/4328234" TargetMode="External"/><Relationship Id="rId296" Type="http://schemas.openxmlformats.org/officeDocument/2006/relationships/hyperlink" Target="https://my.zakupki.prom.ua/remote/dispatcher/state_contracting_view/11565325" TargetMode="External"/><Relationship Id="rId461" Type="http://schemas.openxmlformats.org/officeDocument/2006/relationships/hyperlink" Target="https://my.zakupki.prom.ua/remote/dispatcher/state_purchase_view/31702296" TargetMode="External"/><Relationship Id="rId517" Type="http://schemas.openxmlformats.org/officeDocument/2006/relationships/hyperlink" Target="https://my.zakupki.prom.ua/remote/dispatcher/state_purchase_view/25043770" TargetMode="External"/><Relationship Id="rId559" Type="http://schemas.openxmlformats.org/officeDocument/2006/relationships/hyperlink" Target="https://my.zakupki.prom.ua/remote/dispatcher/state_purchase_view/32320196" TargetMode="External"/><Relationship Id="rId724" Type="http://schemas.openxmlformats.org/officeDocument/2006/relationships/hyperlink" Target="https://my.zakupki.prom.ua/remote/dispatcher/state_contracting_view/14492742" TargetMode="External"/><Relationship Id="rId766" Type="http://schemas.openxmlformats.org/officeDocument/2006/relationships/hyperlink" Target="https://my.zakupki.prom.ua/remote/dispatcher/state_contracting_view/14528707" TargetMode="External"/><Relationship Id="rId931" Type="http://schemas.openxmlformats.org/officeDocument/2006/relationships/hyperlink" Target="https://my.zakupki.prom.ua/remote/dispatcher/state_purchase_view/35055879" TargetMode="External"/><Relationship Id="rId60" Type="http://schemas.openxmlformats.org/officeDocument/2006/relationships/hyperlink" Target="https://my.zakupki.prom.ua/remote/dispatcher/state_contracting_view/1530714" TargetMode="External"/><Relationship Id="rId156" Type="http://schemas.openxmlformats.org/officeDocument/2006/relationships/hyperlink" Target="https://my.zakupki.prom.ua/remote/dispatcher/state_contracting_view/6936474" TargetMode="External"/><Relationship Id="rId198" Type="http://schemas.openxmlformats.org/officeDocument/2006/relationships/hyperlink" Target="https://my.zakupki.prom.ua/remote/dispatcher/state_contracting_view/5757423" TargetMode="External"/><Relationship Id="rId321" Type="http://schemas.openxmlformats.org/officeDocument/2006/relationships/hyperlink" Target="https://my.zakupki.prom.ua/remote/dispatcher/state_purchase_view/25670798" TargetMode="External"/><Relationship Id="rId363" Type="http://schemas.openxmlformats.org/officeDocument/2006/relationships/hyperlink" Target="https://my.zakupki.prom.ua/remote/dispatcher/state_purchase_view/31794555" TargetMode="External"/><Relationship Id="rId419" Type="http://schemas.openxmlformats.org/officeDocument/2006/relationships/hyperlink" Target="https://my.zakupki.prom.ua/remote/dispatcher/state_purchase_view/23836541" TargetMode="External"/><Relationship Id="rId570" Type="http://schemas.openxmlformats.org/officeDocument/2006/relationships/hyperlink" Target="https://my.zakupki.prom.ua/remote/dispatcher/state_contracting_view/8871547" TargetMode="External"/><Relationship Id="rId626" Type="http://schemas.openxmlformats.org/officeDocument/2006/relationships/hyperlink" Target="https://my.zakupki.prom.ua/remote/dispatcher/state_contracting_view/8247074" TargetMode="External"/><Relationship Id="rId223" Type="http://schemas.openxmlformats.org/officeDocument/2006/relationships/hyperlink" Target="https://my.zakupki.prom.ua/remote/dispatcher/state_purchase_view/17614967" TargetMode="External"/><Relationship Id="rId430" Type="http://schemas.openxmlformats.org/officeDocument/2006/relationships/hyperlink" Target="https://my.zakupki.prom.ua/remote/dispatcher/state_contracting_view/8374119" TargetMode="External"/><Relationship Id="rId668" Type="http://schemas.openxmlformats.org/officeDocument/2006/relationships/hyperlink" Target="https://my.zakupki.prom.ua/remote/dispatcher/state_contracting_view/8562385" TargetMode="External"/><Relationship Id="rId833" Type="http://schemas.openxmlformats.org/officeDocument/2006/relationships/hyperlink" Target="https://my.zakupki.prom.ua/remote/dispatcher/state_purchase_view/36057299" TargetMode="External"/><Relationship Id="rId875" Type="http://schemas.openxmlformats.org/officeDocument/2006/relationships/hyperlink" Target="https://my.zakupki.prom.ua/remote/dispatcher/state_purchase_view/38418218" TargetMode="External"/><Relationship Id="rId18" Type="http://schemas.openxmlformats.org/officeDocument/2006/relationships/hyperlink" Target="https://my.zakupki.prom.ua/remote/dispatcher/state_contracting_view/17215074" TargetMode="External"/><Relationship Id="rId265" Type="http://schemas.openxmlformats.org/officeDocument/2006/relationships/hyperlink" Target="https://my.zakupki.prom.ua/remote/dispatcher/state_purchase_view/17105693" TargetMode="External"/><Relationship Id="rId472" Type="http://schemas.openxmlformats.org/officeDocument/2006/relationships/hyperlink" Target="https://my.zakupki.prom.ua/remote/dispatcher/state_contracting_view/8864317" TargetMode="External"/><Relationship Id="rId528" Type="http://schemas.openxmlformats.org/officeDocument/2006/relationships/hyperlink" Target="https://my.zakupki.prom.ua/remote/dispatcher/state_contracting_view/7941602" TargetMode="External"/><Relationship Id="rId735" Type="http://schemas.openxmlformats.org/officeDocument/2006/relationships/hyperlink" Target="https://my.zakupki.prom.ua/remote/dispatcher/state_purchase_view/37013682" TargetMode="External"/><Relationship Id="rId900" Type="http://schemas.openxmlformats.org/officeDocument/2006/relationships/hyperlink" Target="https://my.zakupki.prom.ua/remote/dispatcher/state_contracting_view/14118763" TargetMode="External"/><Relationship Id="rId125" Type="http://schemas.openxmlformats.org/officeDocument/2006/relationships/hyperlink" Target="https://my.zakupki.prom.ua/remote/dispatcher/state_purchase_view/17892121" TargetMode="External"/><Relationship Id="rId167" Type="http://schemas.openxmlformats.org/officeDocument/2006/relationships/hyperlink" Target="https://my.zakupki.prom.ua/remote/dispatcher/state_purchase_view/18359859" TargetMode="External"/><Relationship Id="rId332" Type="http://schemas.openxmlformats.org/officeDocument/2006/relationships/hyperlink" Target="https://my.zakupki.prom.ua/remote/dispatcher/state_contracting_view/7940866" TargetMode="External"/><Relationship Id="rId374" Type="http://schemas.openxmlformats.org/officeDocument/2006/relationships/hyperlink" Target="https://my.zakupki.prom.ua/remote/dispatcher/state_contracting_view/9975148" TargetMode="External"/><Relationship Id="rId581" Type="http://schemas.openxmlformats.org/officeDocument/2006/relationships/hyperlink" Target="https://my.zakupki.prom.ua/remote/dispatcher/state_purchase_view/25893060" TargetMode="External"/><Relationship Id="rId777" Type="http://schemas.openxmlformats.org/officeDocument/2006/relationships/hyperlink" Target="https://my.zakupki.prom.ua/remote/dispatcher/state_purchase_view/36554989" TargetMode="External"/><Relationship Id="rId71" Type="http://schemas.openxmlformats.org/officeDocument/2006/relationships/hyperlink" Target="https://my.zakupki.prom.ua/remote/dispatcher/state_purchase_view/9484760" TargetMode="External"/><Relationship Id="rId234" Type="http://schemas.openxmlformats.org/officeDocument/2006/relationships/hyperlink" Target="https://my.zakupki.prom.ua/remote/dispatcher/state_contracting_view/7108502" TargetMode="External"/><Relationship Id="rId637" Type="http://schemas.openxmlformats.org/officeDocument/2006/relationships/hyperlink" Target="https://my.zakupki.prom.ua/remote/dispatcher/state_purchase_view/24964965" TargetMode="External"/><Relationship Id="rId679" Type="http://schemas.openxmlformats.org/officeDocument/2006/relationships/hyperlink" Target="https://my.zakupki.prom.ua/remote/dispatcher/state_purchase_view/34821143" TargetMode="External"/><Relationship Id="rId802" Type="http://schemas.openxmlformats.org/officeDocument/2006/relationships/hyperlink" Target="https://my.zakupki.prom.ua/remote/dispatcher/state_contracting_view/14305036" TargetMode="External"/><Relationship Id="rId844" Type="http://schemas.openxmlformats.org/officeDocument/2006/relationships/hyperlink" Target="https://my.zakupki.prom.ua/remote/dispatcher/state_contracting_view/14565622" TargetMode="External"/><Relationship Id="rId886" Type="http://schemas.openxmlformats.org/officeDocument/2006/relationships/hyperlink" Target="https://my.zakupki.prom.ua/remote/dispatcher/state_contracting_view/13641062" TargetMode="External"/><Relationship Id="rId2" Type="http://schemas.openxmlformats.org/officeDocument/2006/relationships/hyperlink" Target="https://my.zakupki.prom.ua/remote/dispatcher/state_contracting_view/15387409" TargetMode="External"/><Relationship Id="rId29" Type="http://schemas.openxmlformats.org/officeDocument/2006/relationships/hyperlink" Target="https://my.zakupki.prom.ua/remote/dispatcher/state_purchase_view/42031229" TargetMode="External"/><Relationship Id="rId276" Type="http://schemas.openxmlformats.org/officeDocument/2006/relationships/hyperlink" Target="https://my.zakupki.prom.ua/remote/dispatcher/state_contracting_view/7570362" TargetMode="External"/><Relationship Id="rId441" Type="http://schemas.openxmlformats.org/officeDocument/2006/relationships/hyperlink" Target="https://my.zakupki.prom.ua/remote/dispatcher/state_purchase_view/25671256" TargetMode="External"/><Relationship Id="rId483" Type="http://schemas.openxmlformats.org/officeDocument/2006/relationships/hyperlink" Target="https://my.zakupki.prom.ua/remote/dispatcher/state_purchase_view/27035643" TargetMode="External"/><Relationship Id="rId539" Type="http://schemas.openxmlformats.org/officeDocument/2006/relationships/hyperlink" Target="https://my.zakupki.prom.ua/remote/dispatcher/state_purchase_view/31892245" TargetMode="External"/><Relationship Id="rId690" Type="http://schemas.openxmlformats.org/officeDocument/2006/relationships/hyperlink" Target="https://my.zakupki.prom.ua/remote/dispatcher/state_contracting_view/12728497" TargetMode="External"/><Relationship Id="rId704" Type="http://schemas.openxmlformats.org/officeDocument/2006/relationships/hyperlink" Target="https://my.zakupki.prom.ua/remote/dispatcher/state_contracting_view/13461392" TargetMode="External"/><Relationship Id="rId746" Type="http://schemas.openxmlformats.org/officeDocument/2006/relationships/hyperlink" Target="https://my.zakupki.prom.ua/remote/dispatcher/state_contracting_view/13194815" TargetMode="External"/><Relationship Id="rId911" Type="http://schemas.openxmlformats.org/officeDocument/2006/relationships/hyperlink" Target="https://my.zakupki.prom.ua/remote/dispatcher/state_purchase_view/37664638" TargetMode="External"/><Relationship Id="rId40" Type="http://schemas.openxmlformats.org/officeDocument/2006/relationships/hyperlink" Target="https://my.zakupki.prom.ua/remote/dispatcher/state_purchase_view/42758394" TargetMode="External"/><Relationship Id="rId136" Type="http://schemas.openxmlformats.org/officeDocument/2006/relationships/hyperlink" Target="https://my.zakupki.prom.ua/remote/dispatcher/state_contracting_view/6300553" TargetMode="External"/><Relationship Id="rId178" Type="http://schemas.openxmlformats.org/officeDocument/2006/relationships/hyperlink" Target="https://my.zakupki.prom.ua/remote/dispatcher/state_contracting_view/5572304" TargetMode="External"/><Relationship Id="rId301" Type="http://schemas.openxmlformats.org/officeDocument/2006/relationships/hyperlink" Target="https://my.zakupki.prom.ua/remote/dispatcher/state_purchase_view/30229703" TargetMode="External"/><Relationship Id="rId343" Type="http://schemas.openxmlformats.org/officeDocument/2006/relationships/hyperlink" Target="https://my.zakupki.prom.ua/remote/dispatcher/state_purchase_view/33429302" TargetMode="External"/><Relationship Id="rId550" Type="http://schemas.openxmlformats.org/officeDocument/2006/relationships/hyperlink" Target="https://my.zakupki.prom.ua/remote/dispatcher/state_contracting_view/10595753" TargetMode="External"/><Relationship Id="rId788" Type="http://schemas.openxmlformats.org/officeDocument/2006/relationships/hyperlink" Target="https://my.zakupki.prom.ua/remote/dispatcher/state_contracting_view/13194961" TargetMode="External"/><Relationship Id="rId82" Type="http://schemas.openxmlformats.org/officeDocument/2006/relationships/hyperlink" Target="https://my.zakupki.prom.ua/remote/dispatcher/state_contracting_view/2672224" TargetMode="External"/><Relationship Id="rId203" Type="http://schemas.openxmlformats.org/officeDocument/2006/relationships/hyperlink" Target="https://my.zakupki.prom.ua/remote/dispatcher/state_purchase_view/17985865" TargetMode="External"/><Relationship Id="rId385" Type="http://schemas.openxmlformats.org/officeDocument/2006/relationships/hyperlink" Target="https://my.zakupki.prom.ua/remote/dispatcher/state_purchase_view/31213471" TargetMode="External"/><Relationship Id="rId592" Type="http://schemas.openxmlformats.org/officeDocument/2006/relationships/hyperlink" Target="https://my.zakupki.prom.ua/remote/dispatcher/state_contracting_view/7487317" TargetMode="External"/><Relationship Id="rId606" Type="http://schemas.openxmlformats.org/officeDocument/2006/relationships/hyperlink" Target="https://my.zakupki.prom.ua/remote/dispatcher/state_contracting_view/11474741" TargetMode="External"/><Relationship Id="rId648" Type="http://schemas.openxmlformats.org/officeDocument/2006/relationships/hyperlink" Target="https://my.zakupki.prom.ua/remote/dispatcher/state_contracting_view/7705336" TargetMode="External"/><Relationship Id="rId813" Type="http://schemas.openxmlformats.org/officeDocument/2006/relationships/hyperlink" Target="https://my.zakupki.prom.ua/remote/dispatcher/state_purchase_view/38880747" TargetMode="External"/><Relationship Id="rId855" Type="http://schemas.openxmlformats.org/officeDocument/2006/relationships/hyperlink" Target="https://my.zakupki.prom.ua/remote/dispatcher/state_purchase_view/34840191" TargetMode="External"/><Relationship Id="rId245" Type="http://schemas.openxmlformats.org/officeDocument/2006/relationships/hyperlink" Target="https://my.zakupki.prom.ua/remote/dispatcher/state_purchase_view/19429391" TargetMode="External"/><Relationship Id="rId287" Type="http://schemas.openxmlformats.org/officeDocument/2006/relationships/hyperlink" Target="https://my.zakupki.prom.ua/remote/dispatcher/state_purchase_view/25328850" TargetMode="External"/><Relationship Id="rId410" Type="http://schemas.openxmlformats.org/officeDocument/2006/relationships/hyperlink" Target="https://my.zakupki.prom.ua/remote/dispatcher/state_contracting_view/8162465" TargetMode="External"/><Relationship Id="rId452" Type="http://schemas.openxmlformats.org/officeDocument/2006/relationships/hyperlink" Target="https://my.zakupki.prom.ua/remote/dispatcher/state_contracting_view/10735457" TargetMode="External"/><Relationship Id="rId494" Type="http://schemas.openxmlformats.org/officeDocument/2006/relationships/hyperlink" Target="https://my.zakupki.prom.ua/remote/dispatcher/state_contracting_view/11371267" TargetMode="External"/><Relationship Id="rId508" Type="http://schemas.openxmlformats.org/officeDocument/2006/relationships/hyperlink" Target="https://my.zakupki.prom.ua/remote/dispatcher/state_contracting_view/8164377" TargetMode="External"/><Relationship Id="rId715" Type="http://schemas.openxmlformats.org/officeDocument/2006/relationships/hyperlink" Target="https://my.zakupki.prom.ua/remote/dispatcher/state_purchase_view/35696265" TargetMode="External"/><Relationship Id="rId897" Type="http://schemas.openxmlformats.org/officeDocument/2006/relationships/hyperlink" Target="https://my.zakupki.prom.ua/remote/dispatcher/state_purchase_view/37891625" TargetMode="External"/><Relationship Id="rId922" Type="http://schemas.openxmlformats.org/officeDocument/2006/relationships/hyperlink" Target="https://my.zakupki.prom.ua/remote/dispatcher/state_contracting_view/13465744" TargetMode="External"/><Relationship Id="rId105" Type="http://schemas.openxmlformats.org/officeDocument/2006/relationships/hyperlink" Target="https://my.zakupki.prom.ua/remote/dispatcher/state_purchase_view/16770189" TargetMode="External"/><Relationship Id="rId147" Type="http://schemas.openxmlformats.org/officeDocument/2006/relationships/hyperlink" Target="https://my.zakupki.prom.ua/remote/dispatcher/state_purchase_view/20817398" TargetMode="External"/><Relationship Id="rId312" Type="http://schemas.openxmlformats.org/officeDocument/2006/relationships/hyperlink" Target="https://my.zakupki.prom.ua/remote/dispatcher/state_contracting_view/11718857" TargetMode="External"/><Relationship Id="rId354" Type="http://schemas.openxmlformats.org/officeDocument/2006/relationships/hyperlink" Target="https://my.zakupki.prom.ua/remote/dispatcher/state_contracting_view/7477622" TargetMode="External"/><Relationship Id="rId757" Type="http://schemas.openxmlformats.org/officeDocument/2006/relationships/hyperlink" Target="https://my.zakupki.prom.ua/remote/dispatcher/state_purchase_view/36667007" TargetMode="External"/><Relationship Id="rId799" Type="http://schemas.openxmlformats.org/officeDocument/2006/relationships/hyperlink" Target="https://my.zakupki.prom.ua/remote/dispatcher/state_purchase_view/39102617" TargetMode="External"/><Relationship Id="rId51" Type="http://schemas.openxmlformats.org/officeDocument/2006/relationships/hyperlink" Target="https://my.zakupki.prom.ua/remote/dispatcher/state_purchase_view/2991168" TargetMode="External"/><Relationship Id="rId93" Type="http://schemas.openxmlformats.org/officeDocument/2006/relationships/hyperlink" Target="https://my.zakupki.prom.ua/remote/dispatcher/state_purchase_view/13139129" TargetMode="External"/><Relationship Id="rId189" Type="http://schemas.openxmlformats.org/officeDocument/2006/relationships/hyperlink" Target="https://my.zakupki.prom.ua/remote/dispatcher/state_purchase_view/17765756" TargetMode="External"/><Relationship Id="rId396" Type="http://schemas.openxmlformats.org/officeDocument/2006/relationships/hyperlink" Target="https://my.zakupki.prom.ua/remote/dispatcher/state_contracting_view/11628956" TargetMode="External"/><Relationship Id="rId561" Type="http://schemas.openxmlformats.org/officeDocument/2006/relationships/hyperlink" Target="https://my.zakupki.prom.ua/remote/dispatcher/state_purchase_view/28199488" TargetMode="External"/><Relationship Id="rId617" Type="http://schemas.openxmlformats.org/officeDocument/2006/relationships/hyperlink" Target="https://my.zakupki.prom.ua/remote/dispatcher/state_purchase_view/26362025" TargetMode="External"/><Relationship Id="rId659" Type="http://schemas.openxmlformats.org/officeDocument/2006/relationships/hyperlink" Target="https://my.zakupki.prom.ua/remote/dispatcher/state_purchase_view/33450459" TargetMode="External"/><Relationship Id="rId824" Type="http://schemas.openxmlformats.org/officeDocument/2006/relationships/hyperlink" Target="https://my.zakupki.prom.ua/remote/dispatcher/state_contracting_view/13148862" TargetMode="External"/><Relationship Id="rId866" Type="http://schemas.openxmlformats.org/officeDocument/2006/relationships/hyperlink" Target="https://my.zakupki.prom.ua/remote/dispatcher/state_contracting_view/12644044" TargetMode="External"/><Relationship Id="rId214" Type="http://schemas.openxmlformats.org/officeDocument/2006/relationships/hyperlink" Target="https://my.zakupki.prom.ua/remote/dispatcher/state_contracting_view/6948104" TargetMode="External"/><Relationship Id="rId256" Type="http://schemas.openxmlformats.org/officeDocument/2006/relationships/hyperlink" Target="https://my.zakupki.prom.ua/remote/dispatcher/state_contracting_view/5983242" TargetMode="External"/><Relationship Id="rId298" Type="http://schemas.openxmlformats.org/officeDocument/2006/relationships/hyperlink" Target="https://my.zakupki.prom.ua/remote/dispatcher/state_contracting_view/11565575" TargetMode="External"/><Relationship Id="rId421" Type="http://schemas.openxmlformats.org/officeDocument/2006/relationships/hyperlink" Target="https://my.zakupki.prom.ua/remote/dispatcher/state_purchase_view/23870702" TargetMode="External"/><Relationship Id="rId463" Type="http://schemas.openxmlformats.org/officeDocument/2006/relationships/hyperlink" Target="https://my.zakupki.prom.ua/remote/dispatcher/state_purchase_view/31703587" TargetMode="External"/><Relationship Id="rId519" Type="http://schemas.openxmlformats.org/officeDocument/2006/relationships/hyperlink" Target="https://my.zakupki.prom.ua/remote/dispatcher/state_purchase_view/25204822" TargetMode="External"/><Relationship Id="rId670" Type="http://schemas.openxmlformats.org/officeDocument/2006/relationships/hyperlink" Target="https://my.zakupki.prom.ua/remote/dispatcher/state_contracting_view/8558075" TargetMode="External"/><Relationship Id="rId116" Type="http://schemas.openxmlformats.org/officeDocument/2006/relationships/hyperlink" Target="https://my.zakupki.prom.ua/remote/dispatcher/state_contracting_view/4849223" TargetMode="External"/><Relationship Id="rId158" Type="http://schemas.openxmlformats.org/officeDocument/2006/relationships/hyperlink" Target="https://my.zakupki.prom.ua/remote/dispatcher/state_contracting_view/6939146" TargetMode="External"/><Relationship Id="rId323" Type="http://schemas.openxmlformats.org/officeDocument/2006/relationships/hyperlink" Target="https://my.zakupki.prom.ua/remote/dispatcher/state_purchase_view/26790625" TargetMode="External"/><Relationship Id="rId530" Type="http://schemas.openxmlformats.org/officeDocument/2006/relationships/hyperlink" Target="https://my.zakupki.prom.ua/remote/dispatcher/state_contracting_view/8908601" TargetMode="External"/><Relationship Id="rId726" Type="http://schemas.openxmlformats.org/officeDocument/2006/relationships/hyperlink" Target="https://my.zakupki.prom.ua/remote/dispatcher/state_contracting_view/14365848" TargetMode="External"/><Relationship Id="rId768" Type="http://schemas.openxmlformats.org/officeDocument/2006/relationships/hyperlink" Target="https://my.zakupki.prom.ua/remote/dispatcher/state_contracting_view/14707340" TargetMode="External"/><Relationship Id="rId933" Type="http://schemas.openxmlformats.org/officeDocument/2006/relationships/hyperlink" Target="https://my.zakupki.prom.ua/remote/dispatcher/state_purchase_view/34832326" TargetMode="External"/><Relationship Id="rId20" Type="http://schemas.openxmlformats.org/officeDocument/2006/relationships/hyperlink" Target="https://my.zakupki.prom.ua/remote/dispatcher/state_contracting_view/17228869" TargetMode="External"/><Relationship Id="rId62" Type="http://schemas.openxmlformats.org/officeDocument/2006/relationships/hyperlink" Target="https://my.zakupki.prom.ua/remote/dispatcher/state_contracting_view/1530246" TargetMode="External"/><Relationship Id="rId365" Type="http://schemas.openxmlformats.org/officeDocument/2006/relationships/hyperlink" Target="https://my.zakupki.prom.ua/remote/dispatcher/state_purchase_view/32319859" TargetMode="External"/><Relationship Id="rId572" Type="http://schemas.openxmlformats.org/officeDocument/2006/relationships/hyperlink" Target="https://my.zakupki.prom.ua/remote/dispatcher/state_contracting_view/8789789" TargetMode="External"/><Relationship Id="rId628" Type="http://schemas.openxmlformats.org/officeDocument/2006/relationships/hyperlink" Target="https://my.zakupki.prom.ua/remote/dispatcher/state_contracting_view/7574172" TargetMode="External"/><Relationship Id="rId835" Type="http://schemas.openxmlformats.org/officeDocument/2006/relationships/hyperlink" Target="https://my.zakupki.prom.ua/remote/dispatcher/state_purchase_view/35898872" TargetMode="External"/><Relationship Id="rId225" Type="http://schemas.openxmlformats.org/officeDocument/2006/relationships/hyperlink" Target="https://my.zakupki.prom.ua/remote/dispatcher/state_purchase_view/17112298" TargetMode="External"/><Relationship Id="rId267" Type="http://schemas.openxmlformats.org/officeDocument/2006/relationships/hyperlink" Target="https://my.zakupki.prom.ua/remote/dispatcher/state_purchase_view/17616603" TargetMode="External"/><Relationship Id="rId432" Type="http://schemas.openxmlformats.org/officeDocument/2006/relationships/hyperlink" Target="https://my.zakupki.prom.ua/remote/dispatcher/state_contracting_view/7598633" TargetMode="External"/><Relationship Id="rId474" Type="http://schemas.openxmlformats.org/officeDocument/2006/relationships/hyperlink" Target="https://my.zakupki.prom.ua/remote/dispatcher/state_contracting_view/8803824" TargetMode="External"/><Relationship Id="rId877" Type="http://schemas.openxmlformats.org/officeDocument/2006/relationships/hyperlink" Target="https://my.zakupki.prom.ua/remote/dispatcher/state_purchase_view/35586069" TargetMode="External"/><Relationship Id="rId127" Type="http://schemas.openxmlformats.org/officeDocument/2006/relationships/hyperlink" Target="https://my.zakupki.prom.ua/remote/dispatcher/state_purchase_view/17890316" TargetMode="External"/><Relationship Id="rId681" Type="http://schemas.openxmlformats.org/officeDocument/2006/relationships/hyperlink" Target="https://my.zakupki.prom.ua/remote/dispatcher/state_purchase_view/35827198" TargetMode="External"/><Relationship Id="rId737" Type="http://schemas.openxmlformats.org/officeDocument/2006/relationships/hyperlink" Target="https://my.zakupki.prom.ua/remote/dispatcher/state_purchase_view/36493886" TargetMode="External"/><Relationship Id="rId779" Type="http://schemas.openxmlformats.org/officeDocument/2006/relationships/hyperlink" Target="https://my.zakupki.prom.ua/remote/dispatcher/state_purchase_view/36310031" TargetMode="External"/><Relationship Id="rId902" Type="http://schemas.openxmlformats.org/officeDocument/2006/relationships/hyperlink" Target="https://my.zakupki.prom.ua/remote/dispatcher/state_contracting_view/14124250" TargetMode="External"/><Relationship Id="rId31" Type="http://schemas.openxmlformats.org/officeDocument/2006/relationships/hyperlink" Target="https://my.zakupki.prom.ua/remote/dispatcher/state_purchase_view/42078490" TargetMode="External"/><Relationship Id="rId73" Type="http://schemas.openxmlformats.org/officeDocument/2006/relationships/hyperlink" Target="https://my.zakupki.prom.ua/remote/dispatcher/state_purchase_view/8910806" TargetMode="External"/><Relationship Id="rId169" Type="http://schemas.openxmlformats.org/officeDocument/2006/relationships/hyperlink" Target="https://my.zakupki.prom.ua/remote/dispatcher/state_purchase_view/16904631" TargetMode="External"/><Relationship Id="rId334" Type="http://schemas.openxmlformats.org/officeDocument/2006/relationships/hyperlink" Target="https://my.zakupki.prom.ua/remote/dispatcher/state_contracting_view/7943155" TargetMode="External"/><Relationship Id="rId376" Type="http://schemas.openxmlformats.org/officeDocument/2006/relationships/hyperlink" Target="https://my.zakupki.prom.ua/remote/dispatcher/state_contracting_view/11475756" TargetMode="External"/><Relationship Id="rId541" Type="http://schemas.openxmlformats.org/officeDocument/2006/relationships/hyperlink" Target="https://my.zakupki.prom.ua/remote/dispatcher/state_purchase_view/33017545" TargetMode="External"/><Relationship Id="rId583" Type="http://schemas.openxmlformats.org/officeDocument/2006/relationships/hyperlink" Target="https://my.zakupki.prom.ua/remote/dispatcher/state_purchase_view/26968493" TargetMode="External"/><Relationship Id="rId639" Type="http://schemas.openxmlformats.org/officeDocument/2006/relationships/hyperlink" Target="https://my.zakupki.prom.ua/remote/dispatcher/state_purchase_view/24965905" TargetMode="External"/><Relationship Id="rId790" Type="http://schemas.openxmlformats.org/officeDocument/2006/relationships/hyperlink" Target="https://my.zakupki.prom.ua/remote/dispatcher/state_contracting_view/13194900" TargetMode="External"/><Relationship Id="rId804" Type="http://schemas.openxmlformats.org/officeDocument/2006/relationships/hyperlink" Target="https://my.zakupki.prom.ua/remote/dispatcher/state_contracting_view/13983779" TargetMode="External"/><Relationship Id="rId4" Type="http://schemas.openxmlformats.org/officeDocument/2006/relationships/hyperlink" Target="https://my.zakupki.prom.ua/remote/dispatcher/state_contracting_view/15622865" TargetMode="External"/><Relationship Id="rId180" Type="http://schemas.openxmlformats.org/officeDocument/2006/relationships/hyperlink" Target="https://my.zakupki.prom.ua/remote/dispatcher/state_contracting_view/6562852" TargetMode="External"/><Relationship Id="rId236" Type="http://schemas.openxmlformats.org/officeDocument/2006/relationships/hyperlink" Target="https://my.zakupki.prom.ua/remote/dispatcher/state_contracting_view/4940691" TargetMode="External"/><Relationship Id="rId278" Type="http://schemas.openxmlformats.org/officeDocument/2006/relationships/hyperlink" Target="https://my.zakupki.prom.ua/remote/dispatcher/state_contracting_view/7567984" TargetMode="External"/><Relationship Id="rId401" Type="http://schemas.openxmlformats.org/officeDocument/2006/relationships/hyperlink" Target="https://my.zakupki.prom.ua/remote/dispatcher/state_purchase_view/32766985" TargetMode="External"/><Relationship Id="rId443" Type="http://schemas.openxmlformats.org/officeDocument/2006/relationships/hyperlink" Target="https://my.zakupki.prom.ua/remote/dispatcher/state_purchase_view/25670215" TargetMode="External"/><Relationship Id="rId650" Type="http://schemas.openxmlformats.org/officeDocument/2006/relationships/hyperlink" Target="https://my.zakupki.prom.ua/remote/dispatcher/state_contracting_view/7600707" TargetMode="External"/><Relationship Id="rId846" Type="http://schemas.openxmlformats.org/officeDocument/2006/relationships/hyperlink" Target="https://my.zakupki.prom.ua/remote/dispatcher/state_contracting_view/14566042" TargetMode="External"/><Relationship Id="rId888" Type="http://schemas.openxmlformats.org/officeDocument/2006/relationships/hyperlink" Target="https://my.zakupki.prom.ua/remote/dispatcher/state_contracting_view/13433891" TargetMode="External"/><Relationship Id="rId303" Type="http://schemas.openxmlformats.org/officeDocument/2006/relationships/hyperlink" Target="https://my.zakupki.prom.ua/remote/dispatcher/state_purchase_view/31906511" TargetMode="External"/><Relationship Id="rId485" Type="http://schemas.openxmlformats.org/officeDocument/2006/relationships/hyperlink" Target="https://my.zakupki.prom.ua/remote/dispatcher/state_purchase_view/30025891" TargetMode="External"/><Relationship Id="rId692" Type="http://schemas.openxmlformats.org/officeDocument/2006/relationships/hyperlink" Target="https://my.zakupki.prom.ua/remote/dispatcher/state_contracting_view/14487305" TargetMode="External"/><Relationship Id="rId706" Type="http://schemas.openxmlformats.org/officeDocument/2006/relationships/hyperlink" Target="https://my.zakupki.prom.ua/remote/dispatcher/state_contracting_view/13680584" TargetMode="External"/><Relationship Id="rId748" Type="http://schemas.openxmlformats.org/officeDocument/2006/relationships/hyperlink" Target="https://my.zakupki.prom.ua/remote/dispatcher/state_contracting_view/12678130" TargetMode="External"/><Relationship Id="rId913" Type="http://schemas.openxmlformats.org/officeDocument/2006/relationships/hyperlink" Target="https://my.zakupki.prom.ua/remote/dispatcher/state_purchase_view/37014385" TargetMode="External"/><Relationship Id="rId42" Type="http://schemas.openxmlformats.org/officeDocument/2006/relationships/hyperlink" Target="https://my.zakupki.prom.ua/remote/dispatcher/state_purchase_view/42628317" TargetMode="External"/><Relationship Id="rId84" Type="http://schemas.openxmlformats.org/officeDocument/2006/relationships/hyperlink" Target="https://my.zakupki.prom.ua/remote/dispatcher/state_contracting_view/2671996" TargetMode="External"/><Relationship Id="rId138" Type="http://schemas.openxmlformats.org/officeDocument/2006/relationships/hyperlink" Target="https://my.zakupki.prom.ua/remote/dispatcher/state_contracting_view/5130074" TargetMode="External"/><Relationship Id="rId345" Type="http://schemas.openxmlformats.org/officeDocument/2006/relationships/hyperlink" Target="https://my.zakupki.prom.ua/remote/dispatcher/state_purchase_view/25891436" TargetMode="External"/><Relationship Id="rId387" Type="http://schemas.openxmlformats.org/officeDocument/2006/relationships/hyperlink" Target="https://my.zakupki.prom.ua/remote/dispatcher/state_purchase_view/31043962" TargetMode="External"/><Relationship Id="rId510" Type="http://schemas.openxmlformats.org/officeDocument/2006/relationships/hyperlink" Target="https://my.zakupki.prom.ua/remote/dispatcher/state_contracting_view/8119499" TargetMode="External"/><Relationship Id="rId552" Type="http://schemas.openxmlformats.org/officeDocument/2006/relationships/hyperlink" Target="https://my.zakupki.prom.ua/remote/dispatcher/state_contracting_view/12168156" TargetMode="External"/><Relationship Id="rId594" Type="http://schemas.openxmlformats.org/officeDocument/2006/relationships/hyperlink" Target="https://my.zakupki.prom.ua/remote/dispatcher/state_contracting_view/7256017" TargetMode="External"/><Relationship Id="rId608" Type="http://schemas.openxmlformats.org/officeDocument/2006/relationships/hyperlink" Target="https://my.zakupki.prom.ua/remote/dispatcher/state_contracting_view/11035179" TargetMode="External"/><Relationship Id="rId815" Type="http://schemas.openxmlformats.org/officeDocument/2006/relationships/hyperlink" Target="https://my.zakupki.prom.ua/remote/dispatcher/state_purchase_view/36664300" TargetMode="External"/><Relationship Id="rId191" Type="http://schemas.openxmlformats.org/officeDocument/2006/relationships/hyperlink" Target="https://my.zakupki.prom.ua/remote/dispatcher/state_purchase_view/22688733" TargetMode="External"/><Relationship Id="rId205" Type="http://schemas.openxmlformats.org/officeDocument/2006/relationships/hyperlink" Target="https://my.zakupki.prom.ua/remote/dispatcher/state_purchase_view/17982320" TargetMode="External"/><Relationship Id="rId247" Type="http://schemas.openxmlformats.org/officeDocument/2006/relationships/hyperlink" Target="https://my.zakupki.prom.ua/remote/dispatcher/state_purchase_view/19071793" TargetMode="External"/><Relationship Id="rId412" Type="http://schemas.openxmlformats.org/officeDocument/2006/relationships/hyperlink" Target="https://my.zakupki.prom.ua/remote/dispatcher/state_contracting_view/8121040" TargetMode="External"/><Relationship Id="rId857" Type="http://schemas.openxmlformats.org/officeDocument/2006/relationships/hyperlink" Target="https://my.zakupki.prom.ua/remote/dispatcher/state_purchase_view/38700300" TargetMode="External"/><Relationship Id="rId899" Type="http://schemas.openxmlformats.org/officeDocument/2006/relationships/hyperlink" Target="https://my.zakupki.prom.ua/remote/dispatcher/state_purchase_view/36912831" TargetMode="External"/><Relationship Id="rId107" Type="http://schemas.openxmlformats.org/officeDocument/2006/relationships/hyperlink" Target="https://my.zakupki.prom.ua/remote/dispatcher/state_purchase_view/16778283" TargetMode="External"/><Relationship Id="rId289" Type="http://schemas.openxmlformats.org/officeDocument/2006/relationships/hyperlink" Target="https://my.zakupki.prom.ua/remote/dispatcher/state_purchase_view/25328252" TargetMode="External"/><Relationship Id="rId454" Type="http://schemas.openxmlformats.org/officeDocument/2006/relationships/hyperlink" Target="https://my.zakupki.prom.ua/remote/dispatcher/state_contracting_view/9206417" TargetMode="External"/><Relationship Id="rId496" Type="http://schemas.openxmlformats.org/officeDocument/2006/relationships/hyperlink" Target="https://my.zakupki.prom.ua/remote/dispatcher/state_contracting_view/10588297" TargetMode="External"/><Relationship Id="rId661" Type="http://schemas.openxmlformats.org/officeDocument/2006/relationships/hyperlink" Target="https://my.zakupki.prom.ua/remote/dispatcher/state_purchase_view/32301427" TargetMode="External"/><Relationship Id="rId717" Type="http://schemas.openxmlformats.org/officeDocument/2006/relationships/hyperlink" Target="https://my.zakupki.prom.ua/remote/dispatcher/state_purchase_view/37468977" TargetMode="External"/><Relationship Id="rId759" Type="http://schemas.openxmlformats.org/officeDocument/2006/relationships/hyperlink" Target="https://my.zakupki.prom.ua/remote/dispatcher/state_purchase_view/38198326" TargetMode="External"/><Relationship Id="rId924" Type="http://schemas.openxmlformats.org/officeDocument/2006/relationships/hyperlink" Target="https://my.zakupki.prom.ua/remote/dispatcher/state_contracting_view/13466956" TargetMode="External"/><Relationship Id="rId11" Type="http://schemas.openxmlformats.org/officeDocument/2006/relationships/hyperlink" Target="https://my.zakupki.prom.ua/remote/dispatcher/state_purchase_view/42214417" TargetMode="External"/><Relationship Id="rId53" Type="http://schemas.openxmlformats.org/officeDocument/2006/relationships/hyperlink" Target="https://my.zakupki.prom.ua/remote/dispatcher/state_purchase_view/2832360" TargetMode="External"/><Relationship Id="rId149" Type="http://schemas.openxmlformats.org/officeDocument/2006/relationships/hyperlink" Target="https://my.zakupki.prom.ua/remote/dispatcher/state_purchase_view/20436014" TargetMode="External"/><Relationship Id="rId314" Type="http://schemas.openxmlformats.org/officeDocument/2006/relationships/hyperlink" Target="https://my.zakupki.prom.ua/remote/dispatcher/state_contracting_view/8357610" TargetMode="External"/><Relationship Id="rId356" Type="http://schemas.openxmlformats.org/officeDocument/2006/relationships/hyperlink" Target="https://my.zakupki.prom.ua/remote/dispatcher/state_contracting_view/8090243" TargetMode="External"/><Relationship Id="rId398" Type="http://schemas.openxmlformats.org/officeDocument/2006/relationships/hyperlink" Target="https://my.zakupki.prom.ua/remote/dispatcher/state_contracting_view/11687668" TargetMode="External"/><Relationship Id="rId521" Type="http://schemas.openxmlformats.org/officeDocument/2006/relationships/hyperlink" Target="https://my.zakupki.prom.ua/remote/dispatcher/state_purchase_view/24913084" TargetMode="External"/><Relationship Id="rId563" Type="http://schemas.openxmlformats.org/officeDocument/2006/relationships/hyperlink" Target="https://my.zakupki.prom.ua/remote/dispatcher/state_purchase_view/25057826" TargetMode="External"/><Relationship Id="rId619" Type="http://schemas.openxmlformats.org/officeDocument/2006/relationships/hyperlink" Target="https://my.zakupki.prom.ua/remote/dispatcher/state_purchase_view/26612394" TargetMode="External"/><Relationship Id="rId770" Type="http://schemas.openxmlformats.org/officeDocument/2006/relationships/hyperlink" Target="https://my.zakupki.prom.ua/remote/dispatcher/state_contracting_view/14704741" TargetMode="External"/><Relationship Id="rId95" Type="http://schemas.openxmlformats.org/officeDocument/2006/relationships/hyperlink" Target="https://my.zakupki.prom.ua/remote/dispatcher/state_purchase_view/11823680" TargetMode="External"/><Relationship Id="rId160" Type="http://schemas.openxmlformats.org/officeDocument/2006/relationships/hyperlink" Target="https://my.zakupki.prom.ua/remote/dispatcher/state_contracting_view/6913530" TargetMode="External"/><Relationship Id="rId216" Type="http://schemas.openxmlformats.org/officeDocument/2006/relationships/hyperlink" Target="https://my.zakupki.prom.ua/remote/dispatcher/state_contracting_view/7108265" TargetMode="External"/><Relationship Id="rId423" Type="http://schemas.openxmlformats.org/officeDocument/2006/relationships/hyperlink" Target="https://my.zakupki.prom.ua/remote/dispatcher/state_purchase_view/23243229" TargetMode="External"/><Relationship Id="rId826" Type="http://schemas.openxmlformats.org/officeDocument/2006/relationships/hyperlink" Target="https://my.zakupki.prom.ua/remote/dispatcher/state_contracting_view/12964207" TargetMode="External"/><Relationship Id="rId868" Type="http://schemas.openxmlformats.org/officeDocument/2006/relationships/hyperlink" Target="https://my.zakupki.prom.ua/remote/dispatcher/state_contracting_view/12643589" TargetMode="External"/><Relationship Id="rId258" Type="http://schemas.openxmlformats.org/officeDocument/2006/relationships/hyperlink" Target="https://my.zakupki.prom.ua/remote/dispatcher/state_contracting_view/5561676" TargetMode="External"/><Relationship Id="rId465" Type="http://schemas.openxmlformats.org/officeDocument/2006/relationships/hyperlink" Target="https://my.zakupki.prom.ua/remote/dispatcher/state_purchase_view/31212946" TargetMode="External"/><Relationship Id="rId630" Type="http://schemas.openxmlformats.org/officeDocument/2006/relationships/hyperlink" Target="https://my.zakupki.prom.ua/remote/dispatcher/state_contracting_view/8165678" TargetMode="External"/><Relationship Id="rId672" Type="http://schemas.openxmlformats.org/officeDocument/2006/relationships/hyperlink" Target="https://my.zakupki.prom.ua/remote/dispatcher/state_contracting_view/8863673" TargetMode="External"/><Relationship Id="rId728" Type="http://schemas.openxmlformats.org/officeDocument/2006/relationships/hyperlink" Target="https://my.zakupki.prom.ua/remote/dispatcher/state_contracting_view/14120648" TargetMode="External"/><Relationship Id="rId935" Type="http://schemas.openxmlformats.org/officeDocument/2006/relationships/hyperlink" Target="https://my.zakupki.prom.ua/remote/dispatcher/state_purchase_view/34829680" TargetMode="External"/><Relationship Id="rId22" Type="http://schemas.openxmlformats.org/officeDocument/2006/relationships/hyperlink" Target="https://my.zakupki.prom.ua/remote/dispatcher/state_contracting_view/15658708" TargetMode="External"/><Relationship Id="rId64" Type="http://schemas.openxmlformats.org/officeDocument/2006/relationships/hyperlink" Target="https://my.zakupki.prom.ua/remote/dispatcher/state_contracting_view/2170807" TargetMode="External"/><Relationship Id="rId118" Type="http://schemas.openxmlformats.org/officeDocument/2006/relationships/hyperlink" Target="https://my.zakupki.prom.ua/remote/dispatcher/state_contracting_view/4844499" TargetMode="External"/><Relationship Id="rId325" Type="http://schemas.openxmlformats.org/officeDocument/2006/relationships/hyperlink" Target="https://my.zakupki.prom.ua/remote/dispatcher/state_purchase_view/25083088" TargetMode="External"/><Relationship Id="rId367" Type="http://schemas.openxmlformats.org/officeDocument/2006/relationships/hyperlink" Target="https://my.zakupki.prom.ua/remote/dispatcher/state_purchase_view/30198690" TargetMode="External"/><Relationship Id="rId532" Type="http://schemas.openxmlformats.org/officeDocument/2006/relationships/hyperlink" Target="https://my.zakupki.prom.ua/remote/dispatcher/state_contracting_view/7601160" TargetMode="External"/><Relationship Id="rId574" Type="http://schemas.openxmlformats.org/officeDocument/2006/relationships/hyperlink" Target="https://my.zakupki.prom.ua/remote/dispatcher/state_contracting_view/8277207" TargetMode="External"/><Relationship Id="rId171" Type="http://schemas.openxmlformats.org/officeDocument/2006/relationships/hyperlink" Target="https://my.zakupki.prom.ua/remote/dispatcher/state_purchase_view/18109648" TargetMode="External"/><Relationship Id="rId227" Type="http://schemas.openxmlformats.org/officeDocument/2006/relationships/hyperlink" Target="https://my.zakupki.prom.ua/remote/dispatcher/state_purchase_view/16727708" TargetMode="External"/><Relationship Id="rId781" Type="http://schemas.openxmlformats.org/officeDocument/2006/relationships/hyperlink" Target="https://my.zakupki.prom.ua/remote/dispatcher/state_purchase_view/37713832" TargetMode="External"/><Relationship Id="rId837" Type="http://schemas.openxmlformats.org/officeDocument/2006/relationships/hyperlink" Target="https://my.zakupki.prom.ua/remote/dispatcher/state_purchase_view/37546601" TargetMode="External"/><Relationship Id="rId879" Type="http://schemas.openxmlformats.org/officeDocument/2006/relationships/hyperlink" Target="https://my.zakupki.prom.ua/remote/dispatcher/state_purchase_view/37015412" TargetMode="External"/><Relationship Id="rId269" Type="http://schemas.openxmlformats.org/officeDocument/2006/relationships/hyperlink" Target="https://my.zakupki.prom.ua/remote/dispatcher/state_purchase_view/16574117" TargetMode="External"/><Relationship Id="rId434" Type="http://schemas.openxmlformats.org/officeDocument/2006/relationships/hyperlink" Target="https://my.zakupki.prom.ua/remote/dispatcher/state_contracting_view/7587334" TargetMode="External"/><Relationship Id="rId476" Type="http://schemas.openxmlformats.org/officeDocument/2006/relationships/hyperlink" Target="https://my.zakupki.prom.ua/remote/dispatcher/state_contracting_view/12009179" TargetMode="External"/><Relationship Id="rId641" Type="http://schemas.openxmlformats.org/officeDocument/2006/relationships/hyperlink" Target="https://my.zakupki.prom.ua/remote/dispatcher/state_purchase_view/25256580" TargetMode="External"/><Relationship Id="rId683" Type="http://schemas.openxmlformats.org/officeDocument/2006/relationships/hyperlink" Target="https://my.zakupki.prom.ua/remote/dispatcher/state_purchase_view/37033118" TargetMode="External"/><Relationship Id="rId739" Type="http://schemas.openxmlformats.org/officeDocument/2006/relationships/hyperlink" Target="https://my.zakupki.prom.ua/remote/dispatcher/state_purchase_view/36744838" TargetMode="External"/><Relationship Id="rId890" Type="http://schemas.openxmlformats.org/officeDocument/2006/relationships/hyperlink" Target="https://my.zakupki.prom.ua/remote/dispatcher/state_contracting_view/14848425" TargetMode="External"/><Relationship Id="rId904" Type="http://schemas.openxmlformats.org/officeDocument/2006/relationships/hyperlink" Target="https://my.zakupki.prom.ua/remote/dispatcher/state_contracting_view/13194952" TargetMode="External"/><Relationship Id="rId33" Type="http://schemas.openxmlformats.org/officeDocument/2006/relationships/hyperlink" Target="https://my.zakupki.prom.ua/remote/dispatcher/state_purchase_view/42100014" TargetMode="External"/><Relationship Id="rId129" Type="http://schemas.openxmlformats.org/officeDocument/2006/relationships/hyperlink" Target="https://my.zakupki.prom.ua/remote/dispatcher/state_purchase_view/17926163" TargetMode="External"/><Relationship Id="rId280" Type="http://schemas.openxmlformats.org/officeDocument/2006/relationships/hyperlink" Target="https://my.zakupki.prom.ua/remote/dispatcher/state_contracting_view/7568198" TargetMode="External"/><Relationship Id="rId336" Type="http://schemas.openxmlformats.org/officeDocument/2006/relationships/hyperlink" Target="https://my.zakupki.prom.ua/remote/dispatcher/state_contracting_view/11566528" TargetMode="External"/><Relationship Id="rId501" Type="http://schemas.openxmlformats.org/officeDocument/2006/relationships/hyperlink" Target="https://my.zakupki.prom.ua/remote/dispatcher/state_purchase_view/26492926" TargetMode="External"/><Relationship Id="rId543" Type="http://schemas.openxmlformats.org/officeDocument/2006/relationships/hyperlink" Target="https://my.zakupki.prom.ua/remote/dispatcher/state_purchase_view/33016849" TargetMode="External"/><Relationship Id="rId75" Type="http://schemas.openxmlformats.org/officeDocument/2006/relationships/hyperlink" Target="https://my.zakupki.prom.ua/remote/dispatcher/state_purchase_view/11170500" TargetMode="External"/><Relationship Id="rId140" Type="http://schemas.openxmlformats.org/officeDocument/2006/relationships/hyperlink" Target="https://my.zakupki.prom.ua/remote/dispatcher/state_contracting_view/3825614" TargetMode="External"/><Relationship Id="rId182" Type="http://schemas.openxmlformats.org/officeDocument/2006/relationships/hyperlink" Target="https://my.zakupki.prom.ua/remote/dispatcher/state_contracting_view/6562810" TargetMode="External"/><Relationship Id="rId378" Type="http://schemas.openxmlformats.org/officeDocument/2006/relationships/hyperlink" Target="https://my.zakupki.prom.ua/remote/dispatcher/state_contracting_view/10340513" TargetMode="External"/><Relationship Id="rId403" Type="http://schemas.openxmlformats.org/officeDocument/2006/relationships/hyperlink" Target="https://my.zakupki.prom.ua/remote/dispatcher/state_purchase_view/32315779" TargetMode="External"/><Relationship Id="rId585" Type="http://schemas.openxmlformats.org/officeDocument/2006/relationships/hyperlink" Target="https://my.zakupki.prom.ua/remote/dispatcher/state_purchase_view/25082572" TargetMode="External"/><Relationship Id="rId750" Type="http://schemas.openxmlformats.org/officeDocument/2006/relationships/hyperlink" Target="https://my.zakupki.prom.ua/remote/dispatcher/state_contracting_view/12765334" TargetMode="External"/><Relationship Id="rId792" Type="http://schemas.openxmlformats.org/officeDocument/2006/relationships/hyperlink" Target="https://my.zakupki.prom.ua/remote/dispatcher/state_contracting_view/13182499" TargetMode="External"/><Relationship Id="rId806" Type="http://schemas.openxmlformats.org/officeDocument/2006/relationships/hyperlink" Target="https://my.zakupki.prom.ua/remote/dispatcher/state_contracting_view/13467449" TargetMode="External"/><Relationship Id="rId848" Type="http://schemas.openxmlformats.org/officeDocument/2006/relationships/hyperlink" Target="https://my.zakupki.prom.ua/remote/dispatcher/state_contracting_view/14116543" TargetMode="External"/><Relationship Id="rId6" Type="http://schemas.openxmlformats.org/officeDocument/2006/relationships/hyperlink" Target="https://my.zakupki.prom.ua/remote/dispatcher/state_contracting_view/15853991" TargetMode="External"/><Relationship Id="rId238" Type="http://schemas.openxmlformats.org/officeDocument/2006/relationships/hyperlink" Target="https://my.zakupki.prom.ua/remote/dispatcher/state_contracting_view/4617585" TargetMode="External"/><Relationship Id="rId445" Type="http://schemas.openxmlformats.org/officeDocument/2006/relationships/hyperlink" Target="https://my.zakupki.prom.ua/remote/dispatcher/state_purchase_view/25148858" TargetMode="External"/><Relationship Id="rId487" Type="http://schemas.openxmlformats.org/officeDocument/2006/relationships/hyperlink" Target="https://my.zakupki.prom.ua/remote/dispatcher/state_purchase_view/31698583" TargetMode="External"/><Relationship Id="rId610" Type="http://schemas.openxmlformats.org/officeDocument/2006/relationships/hyperlink" Target="https://my.zakupki.prom.ua/remote/dispatcher/state_contracting_view/12008414" TargetMode="External"/><Relationship Id="rId652" Type="http://schemas.openxmlformats.org/officeDocument/2006/relationships/hyperlink" Target="https://my.zakupki.prom.ua/remote/dispatcher/state_contracting_view/8277691" TargetMode="External"/><Relationship Id="rId694" Type="http://schemas.openxmlformats.org/officeDocument/2006/relationships/hyperlink" Target="https://my.zakupki.prom.ua/remote/dispatcher/state_contracting_view/14349578" TargetMode="External"/><Relationship Id="rId708" Type="http://schemas.openxmlformats.org/officeDocument/2006/relationships/hyperlink" Target="https://my.zakupki.prom.ua/remote/dispatcher/state_contracting_view/13168783" TargetMode="External"/><Relationship Id="rId915" Type="http://schemas.openxmlformats.org/officeDocument/2006/relationships/hyperlink" Target="https://my.zakupki.prom.ua/remote/dispatcher/state_purchase_view/36744042" TargetMode="External"/><Relationship Id="rId291" Type="http://schemas.openxmlformats.org/officeDocument/2006/relationships/hyperlink" Target="https://my.zakupki.prom.ua/remote/dispatcher/state_purchase_view/24083020" TargetMode="External"/><Relationship Id="rId305" Type="http://schemas.openxmlformats.org/officeDocument/2006/relationships/hyperlink" Target="https://my.zakupki.prom.ua/remote/dispatcher/state_purchase_view/33019323" TargetMode="External"/><Relationship Id="rId347" Type="http://schemas.openxmlformats.org/officeDocument/2006/relationships/hyperlink" Target="https://my.zakupki.prom.ua/remote/dispatcher/state_purchase_view/26612128" TargetMode="External"/><Relationship Id="rId512" Type="http://schemas.openxmlformats.org/officeDocument/2006/relationships/hyperlink" Target="https://my.zakupki.prom.ua/remote/dispatcher/state_contracting_view/8121572" TargetMode="External"/><Relationship Id="rId44" Type="http://schemas.openxmlformats.org/officeDocument/2006/relationships/hyperlink" Target="https://my.zakupki.prom.ua/remote/dispatcher/state_purchase_view/42630120" TargetMode="External"/><Relationship Id="rId86" Type="http://schemas.openxmlformats.org/officeDocument/2006/relationships/hyperlink" Target="https://my.zakupki.prom.ua/remote/dispatcher/state_contracting_view/3067902" TargetMode="External"/><Relationship Id="rId151" Type="http://schemas.openxmlformats.org/officeDocument/2006/relationships/hyperlink" Target="https://my.zakupki.prom.ua/remote/dispatcher/state_purchase_view/20438450" TargetMode="External"/><Relationship Id="rId389" Type="http://schemas.openxmlformats.org/officeDocument/2006/relationships/hyperlink" Target="https://my.zakupki.prom.ua/remote/dispatcher/state_purchase_view/32656033" TargetMode="External"/><Relationship Id="rId554" Type="http://schemas.openxmlformats.org/officeDocument/2006/relationships/hyperlink" Target="https://my.zakupki.prom.ua/remote/dispatcher/state_contracting_view/11948130" TargetMode="External"/><Relationship Id="rId596" Type="http://schemas.openxmlformats.org/officeDocument/2006/relationships/hyperlink" Target="https://my.zakupki.prom.ua/remote/dispatcher/state_contracting_view/7259839" TargetMode="External"/><Relationship Id="rId761" Type="http://schemas.openxmlformats.org/officeDocument/2006/relationships/hyperlink" Target="https://my.zakupki.prom.ua/remote/dispatcher/state_purchase_view/38259126" TargetMode="External"/><Relationship Id="rId817" Type="http://schemas.openxmlformats.org/officeDocument/2006/relationships/hyperlink" Target="https://my.zakupki.prom.ua/remote/dispatcher/state_purchase_view/36911829" TargetMode="External"/><Relationship Id="rId859" Type="http://schemas.openxmlformats.org/officeDocument/2006/relationships/hyperlink" Target="https://my.zakupki.prom.ua/remote/dispatcher/state_purchase_view/38997048" TargetMode="External"/><Relationship Id="rId193" Type="http://schemas.openxmlformats.org/officeDocument/2006/relationships/hyperlink" Target="https://my.zakupki.prom.ua/remote/dispatcher/state_purchase_view/19577339" TargetMode="External"/><Relationship Id="rId207" Type="http://schemas.openxmlformats.org/officeDocument/2006/relationships/hyperlink" Target="https://my.zakupki.prom.ua/remote/dispatcher/state_purchase_view/17760300" TargetMode="External"/><Relationship Id="rId249" Type="http://schemas.openxmlformats.org/officeDocument/2006/relationships/hyperlink" Target="https://my.zakupki.prom.ua/remote/dispatcher/state_purchase_view/18493058" TargetMode="External"/><Relationship Id="rId414" Type="http://schemas.openxmlformats.org/officeDocument/2006/relationships/hyperlink" Target="https://my.zakupki.prom.ua/remote/dispatcher/state_contracting_view/8456711" TargetMode="External"/><Relationship Id="rId456" Type="http://schemas.openxmlformats.org/officeDocument/2006/relationships/hyperlink" Target="https://my.zakupki.prom.ua/remote/dispatcher/state_contracting_view/8908438" TargetMode="External"/><Relationship Id="rId498" Type="http://schemas.openxmlformats.org/officeDocument/2006/relationships/hyperlink" Target="https://my.zakupki.prom.ua/remote/dispatcher/state_contracting_view/10589554" TargetMode="External"/><Relationship Id="rId621" Type="http://schemas.openxmlformats.org/officeDocument/2006/relationships/hyperlink" Target="https://my.zakupki.prom.ua/remote/dispatcher/state_purchase_view/25889386" TargetMode="External"/><Relationship Id="rId663" Type="http://schemas.openxmlformats.org/officeDocument/2006/relationships/hyperlink" Target="https://my.zakupki.prom.ua/remote/dispatcher/state_purchase_view/24969696" TargetMode="External"/><Relationship Id="rId870" Type="http://schemas.openxmlformats.org/officeDocument/2006/relationships/hyperlink" Target="https://my.zakupki.prom.ua/remote/dispatcher/state_contracting_view/14566095" TargetMode="External"/><Relationship Id="rId13" Type="http://schemas.openxmlformats.org/officeDocument/2006/relationships/hyperlink" Target="https://my.zakupki.prom.ua/remote/dispatcher/state_purchase_view/43996934" TargetMode="External"/><Relationship Id="rId109" Type="http://schemas.openxmlformats.org/officeDocument/2006/relationships/hyperlink" Target="https://my.zakupki.prom.ua/remote/dispatcher/state_purchase_view/18436776" TargetMode="External"/><Relationship Id="rId260" Type="http://schemas.openxmlformats.org/officeDocument/2006/relationships/hyperlink" Target="https://my.zakupki.prom.ua/remote/dispatcher/state_contracting_view/7108291" TargetMode="External"/><Relationship Id="rId316" Type="http://schemas.openxmlformats.org/officeDocument/2006/relationships/hyperlink" Target="https://my.zakupki.prom.ua/remote/dispatcher/state_contracting_view/8559547" TargetMode="External"/><Relationship Id="rId523" Type="http://schemas.openxmlformats.org/officeDocument/2006/relationships/hyperlink" Target="https://my.zakupki.prom.ua/remote/dispatcher/state_purchase_view/25883379" TargetMode="External"/><Relationship Id="rId719" Type="http://schemas.openxmlformats.org/officeDocument/2006/relationships/hyperlink" Target="https://my.zakupki.prom.ua/remote/dispatcher/state_purchase_view/37581401" TargetMode="External"/><Relationship Id="rId926" Type="http://schemas.openxmlformats.org/officeDocument/2006/relationships/hyperlink" Target="https://my.zakupki.prom.ua/remote/dispatcher/state_contracting_view/13465392" TargetMode="External"/><Relationship Id="rId55" Type="http://schemas.openxmlformats.org/officeDocument/2006/relationships/hyperlink" Target="https://my.zakupki.prom.ua/remote/dispatcher/state_purchase_view/6848632" TargetMode="External"/><Relationship Id="rId97" Type="http://schemas.openxmlformats.org/officeDocument/2006/relationships/hyperlink" Target="https://my.zakupki.prom.ua/remote/dispatcher/state_purchase_view/15015357" TargetMode="External"/><Relationship Id="rId120" Type="http://schemas.openxmlformats.org/officeDocument/2006/relationships/hyperlink" Target="https://my.zakupki.prom.ua/remote/dispatcher/state_contracting_view/5029189" TargetMode="External"/><Relationship Id="rId358" Type="http://schemas.openxmlformats.org/officeDocument/2006/relationships/hyperlink" Target="https://my.zakupki.prom.ua/remote/dispatcher/state_contracting_view/7943037" TargetMode="External"/><Relationship Id="rId565" Type="http://schemas.openxmlformats.org/officeDocument/2006/relationships/hyperlink" Target="https://my.zakupki.prom.ua/remote/dispatcher/state_purchase_view/25043244" TargetMode="External"/><Relationship Id="rId730" Type="http://schemas.openxmlformats.org/officeDocument/2006/relationships/hyperlink" Target="https://my.zakupki.prom.ua/remote/dispatcher/state_contracting_view/14127206" TargetMode="External"/><Relationship Id="rId772" Type="http://schemas.openxmlformats.org/officeDocument/2006/relationships/hyperlink" Target="https://my.zakupki.prom.ua/remote/dispatcher/state_contracting_view/14492877" TargetMode="External"/><Relationship Id="rId828" Type="http://schemas.openxmlformats.org/officeDocument/2006/relationships/hyperlink" Target="https://my.zakupki.prom.ua/remote/dispatcher/state_contracting_view/14930376" TargetMode="External"/><Relationship Id="rId162" Type="http://schemas.openxmlformats.org/officeDocument/2006/relationships/hyperlink" Target="https://my.zakupki.prom.ua/remote/dispatcher/state_contracting_view/6082108" TargetMode="External"/><Relationship Id="rId218" Type="http://schemas.openxmlformats.org/officeDocument/2006/relationships/hyperlink" Target="https://my.zakupki.prom.ua/remote/dispatcher/state_contracting_view/6785331" TargetMode="External"/><Relationship Id="rId425" Type="http://schemas.openxmlformats.org/officeDocument/2006/relationships/hyperlink" Target="https://my.zakupki.prom.ua/remote/dispatcher/state_purchase_view/32299544" TargetMode="External"/><Relationship Id="rId467" Type="http://schemas.openxmlformats.org/officeDocument/2006/relationships/hyperlink" Target="https://my.zakupki.prom.ua/remote/dispatcher/state_purchase_view/28716212" TargetMode="External"/><Relationship Id="rId632" Type="http://schemas.openxmlformats.org/officeDocument/2006/relationships/hyperlink" Target="https://my.zakupki.prom.ua/remote/dispatcher/state_contracting_view/8171341" TargetMode="External"/><Relationship Id="rId271" Type="http://schemas.openxmlformats.org/officeDocument/2006/relationships/hyperlink" Target="https://my.zakupki.prom.ua/remote/dispatcher/state_purchase_view/23067633" TargetMode="External"/><Relationship Id="rId674" Type="http://schemas.openxmlformats.org/officeDocument/2006/relationships/hyperlink" Target="https://my.zakupki.prom.ua/remote/dispatcher/state_contracting_view/9911098" TargetMode="External"/><Relationship Id="rId881" Type="http://schemas.openxmlformats.org/officeDocument/2006/relationships/hyperlink" Target="https://my.zakupki.prom.ua/remote/dispatcher/state_purchase_view/36245173" TargetMode="External"/><Relationship Id="rId937" Type="http://schemas.openxmlformats.org/officeDocument/2006/relationships/hyperlink" Target="https://my.zakupki.prom.ua/remote/dispatcher/state_purchase_view/35067533" TargetMode="External"/><Relationship Id="rId24" Type="http://schemas.openxmlformats.org/officeDocument/2006/relationships/hyperlink" Target="https://my.zakupki.prom.ua/remote/dispatcher/state_contracting_view/16009784" TargetMode="External"/><Relationship Id="rId66" Type="http://schemas.openxmlformats.org/officeDocument/2006/relationships/hyperlink" Target="https://my.zakupki.prom.ua/remote/dispatcher/state_contracting_view/2134015" TargetMode="External"/><Relationship Id="rId131" Type="http://schemas.openxmlformats.org/officeDocument/2006/relationships/hyperlink" Target="https://my.zakupki.prom.ua/remote/dispatcher/state_purchase_view/17929723" TargetMode="External"/><Relationship Id="rId327" Type="http://schemas.openxmlformats.org/officeDocument/2006/relationships/hyperlink" Target="https://my.zakupki.prom.ua/remote/dispatcher/state_purchase_view/25128550" TargetMode="External"/><Relationship Id="rId369" Type="http://schemas.openxmlformats.org/officeDocument/2006/relationships/hyperlink" Target="https://my.zakupki.prom.ua/remote/dispatcher/state_purchase_view/31499794" TargetMode="External"/><Relationship Id="rId534" Type="http://schemas.openxmlformats.org/officeDocument/2006/relationships/hyperlink" Target="https://my.zakupki.prom.ua/remote/dispatcher/state_contracting_view/7572403" TargetMode="External"/><Relationship Id="rId576" Type="http://schemas.openxmlformats.org/officeDocument/2006/relationships/hyperlink" Target="https://my.zakupki.prom.ua/remote/dispatcher/state_contracting_view/8246461" TargetMode="External"/><Relationship Id="rId741" Type="http://schemas.openxmlformats.org/officeDocument/2006/relationships/hyperlink" Target="https://my.zakupki.prom.ua/remote/dispatcher/state_purchase_view/36668537" TargetMode="External"/><Relationship Id="rId783" Type="http://schemas.openxmlformats.org/officeDocument/2006/relationships/hyperlink" Target="https://my.zakupki.prom.ua/remote/dispatcher/state_purchase_view/34162254" TargetMode="External"/><Relationship Id="rId839" Type="http://schemas.openxmlformats.org/officeDocument/2006/relationships/hyperlink" Target="https://my.zakupki.prom.ua/remote/dispatcher/state_purchase_view/35018675" TargetMode="External"/><Relationship Id="rId173" Type="http://schemas.openxmlformats.org/officeDocument/2006/relationships/hyperlink" Target="https://my.zakupki.prom.ua/remote/dispatcher/state_purchase_view/15532212" TargetMode="External"/><Relationship Id="rId229" Type="http://schemas.openxmlformats.org/officeDocument/2006/relationships/hyperlink" Target="https://my.zakupki.prom.ua/remote/dispatcher/state_purchase_view/19071362" TargetMode="External"/><Relationship Id="rId380" Type="http://schemas.openxmlformats.org/officeDocument/2006/relationships/hyperlink" Target="https://my.zakupki.prom.ua/remote/dispatcher/state_contracting_view/11188857" TargetMode="External"/><Relationship Id="rId436" Type="http://schemas.openxmlformats.org/officeDocument/2006/relationships/hyperlink" Target="https://my.zakupki.prom.ua/remote/dispatcher/state_contracting_view/8095271" TargetMode="External"/><Relationship Id="rId601" Type="http://schemas.openxmlformats.org/officeDocument/2006/relationships/hyperlink" Target="https://my.zakupki.prom.ua/remote/dispatcher/state_purchase_view/31693636" TargetMode="External"/><Relationship Id="rId643" Type="http://schemas.openxmlformats.org/officeDocument/2006/relationships/hyperlink" Target="https://my.zakupki.prom.ua/remote/dispatcher/state_purchase_view/24814509" TargetMode="External"/><Relationship Id="rId240" Type="http://schemas.openxmlformats.org/officeDocument/2006/relationships/hyperlink" Target="https://my.zakupki.prom.ua/remote/dispatcher/state_contracting_view/5671457" TargetMode="External"/><Relationship Id="rId478" Type="http://schemas.openxmlformats.org/officeDocument/2006/relationships/hyperlink" Target="https://my.zakupki.prom.ua/remote/dispatcher/state_contracting_view/9682687" TargetMode="External"/><Relationship Id="rId685" Type="http://schemas.openxmlformats.org/officeDocument/2006/relationships/hyperlink" Target="https://my.zakupki.prom.ua/remote/dispatcher/state_purchase_view/38998336" TargetMode="External"/><Relationship Id="rId850" Type="http://schemas.openxmlformats.org/officeDocument/2006/relationships/hyperlink" Target="https://my.zakupki.prom.ua/remote/dispatcher/state_contracting_view/14127879" TargetMode="External"/><Relationship Id="rId892" Type="http://schemas.openxmlformats.org/officeDocument/2006/relationships/hyperlink" Target="https://my.zakupki.prom.ua/remote/dispatcher/state_contracting_view/14862033" TargetMode="External"/><Relationship Id="rId906" Type="http://schemas.openxmlformats.org/officeDocument/2006/relationships/hyperlink" Target="https://my.zakupki.prom.ua/remote/dispatcher/state_contracting_view/13182501" TargetMode="External"/><Relationship Id="rId35" Type="http://schemas.openxmlformats.org/officeDocument/2006/relationships/hyperlink" Target="https://my.zakupki.prom.ua/remote/dispatcher/state_contracting_view/16398078" TargetMode="External"/><Relationship Id="rId77" Type="http://schemas.openxmlformats.org/officeDocument/2006/relationships/hyperlink" Target="https://my.zakupki.prom.ua/remote/dispatcher/state_purchase_view/11172136" TargetMode="External"/><Relationship Id="rId100" Type="http://schemas.openxmlformats.org/officeDocument/2006/relationships/hyperlink" Target="https://my.zakupki.prom.ua/remote/dispatcher/state_contracting_view/4940503" TargetMode="External"/><Relationship Id="rId282" Type="http://schemas.openxmlformats.org/officeDocument/2006/relationships/hyperlink" Target="https://my.zakupki.prom.ua/remote/dispatcher/state_contracting_view/8162370" TargetMode="External"/><Relationship Id="rId338" Type="http://schemas.openxmlformats.org/officeDocument/2006/relationships/hyperlink" Target="https://my.zakupki.prom.ua/remote/dispatcher/state_contracting_view/10861002" TargetMode="External"/><Relationship Id="rId503" Type="http://schemas.openxmlformats.org/officeDocument/2006/relationships/hyperlink" Target="https://my.zakupki.prom.ua/remote/dispatcher/state_purchase_view/25670438" TargetMode="External"/><Relationship Id="rId545" Type="http://schemas.openxmlformats.org/officeDocument/2006/relationships/hyperlink" Target="https://my.zakupki.prom.ua/remote/dispatcher/state_purchase_view/33018633" TargetMode="External"/><Relationship Id="rId587" Type="http://schemas.openxmlformats.org/officeDocument/2006/relationships/hyperlink" Target="https://my.zakupki.prom.ua/remote/dispatcher/state_purchase_view/25813357" TargetMode="External"/><Relationship Id="rId710" Type="http://schemas.openxmlformats.org/officeDocument/2006/relationships/hyperlink" Target="https://my.zakupki.prom.ua/remote/dispatcher/state_contracting_view/13375298" TargetMode="External"/><Relationship Id="rId752" Type="http://schemas.openxmlformats.org/officeDocument/2006/relationships/hyperlink" Target="https://my.zakupki.prom.ua/remote/dispatcher/state_contracting_view/15046870" TargetMode="External"/><Relationship Id="rId808" Type="http://schemas.openxmlformats.org/officeDocument/2006/relationships/hyperlink" Target="https://my.zakupki.prom.ua/remote/dispatcher/state_contracting_view/13465326" TargetMode="External"/><Relationship Id="rId8" Type="http://schemas.openxmlformats.org/officeDocument/2006/relationships/hyperlink" Target="https://my.zakupki.prom.ua/remote/dispatcher/state_contracting_view/15907042" TargetMode="External"/><Relationship Id="rId142" Type="http://schemas.openxmlformats.org/officeDocument/2006/relationships/hyperlink" Target="https://my.zakupki.prom.ua/remote/dispatcher/state_contracting_view/3800391" TargetMode="External"/><Relationship Id="rId184" Type="http://schemas.openxmlformats.org/officeDocument/2006/relationships/hyperlink" Target="https://my.zakupki.prom.ua/remote/dispatcher/state_contracting_view/6294706" TargetMode="External"/><Relationship Id="rId391" Type="http://schemas.openxmlformats.org/officeDocument/2006/relationships/hyperlink" Target="https://my.zakupki.prom.ua/remote/dispatcher/state_purchase_view/32655555" TargetMode="External"/><Relationship Id="rId405" Type="http://schemas.openxmlformats.org/officeDocument/2006/relationships/hyperlink" Target="https://my.zakupki.prom.ua/remote/dispatcher/state_purchase_view/32315319" TargetMode="External"/><Relationship Id="rId447" Type="http://schemas.openxmlformats.org/officeDocument/2006/relationships/hyperlink" Target="https://my.zakupki.prom.ua/remote/dispatcher/state_purchase_view/25057038" TargetMode="External"/><Relationship Id="rId612" Type="http://schemas.openxmlformats.org/officeDocument/2006/relationships/hyperlink" Target="https://my.zakupki.prom.ua/remote/dispatcher/state_contracting_view/12092699" TargetMode="External"/><Relationship Id="rId794" Type="http://schemas.openxmlformats.org/officeDocument/2006/relationships/hyperlink" Target="https://my.zakupki.prom.ua/remote/dispatcher/state_contracting_view/12834844" TargetMode="External"/><Relationship Id="rId251" Type="http://schemas.openxmlformats.org/officeDocument/2006/relationships/hyperlink" Target="https://my.zakupki.prom.ua/remote/dispatcher/state_purchase_view/22333661" TargetMode="External"/><Relationship Id="rId489" Type="http://schemas.openxmlformats.org/officeDocument/2006/relationships/hyperlink" Target="https://my.zakupki.prom.ua/remote/dispatcher/state_purchase_view/32768554" TargetMode="External"/><Relationship Id="rId654" Type="http://schemas.openxmlformats.org/officeDocument/2006/relationships/hyperlink" Target="https://my.zakupki.prom.ua/remote/dispatcher/state_contracting_view/8164545" TargetMode="External"/><Relationship Id="rId696" Type="http://schemas.openxmlformats.org/officeDocument/2006/relationships/hyperlink" Target="https://my.zakupki.prom.ua/remote/dispatcher/state_contracting_view/14565467" TargetMode="External"/><Relationship Id="rId861" Type="http://schemas.openxmlformats.org/officeDocument/2006/relationships/hyperlink" Target="https://my.zakupki.prom.ua/remote/dispatcher/state_purchase_view/34450166" TargetMode="External"/><Relationship Id="rId917" Type="http://schemas.openxmlformats.org/officeDocument/2006/relationships/hyperlink" Target="https://my.zakupki.prom.ua/remote/dispatcher/state_purchase_view/38999928" TargetMode="External"/><Relationship Id="rId46" Type="http://schemas.openxmlformats.org/officeDocument/2006/relationships/hyperlink" Target="https://my.zakupki.prom.ua/remote/dispatcher/state_purchase_view/42630906" TargetMode="External"/><Relationship Id="rId293" Type="http://schemas.openxmlformats.org/officeDocument/2006/relationships/hyperlink" Target="https://my.zakupki.prom.ua/remote/dispatcher/state_purchase_view/26212275" TargetMode="External"/><Relationship Id="rId307" Type="http://schemas.openxmlformats.org/officeDocument/2006/relationships/hyperlink" Target="https://my.zakupki.prom.ua/remote/dispatcher/state_purchase_view/32654911" TargetMode="External"/><Relationship Id="rId349" Type="http://schemas.openxmlformats.org/officeDocument/2006/relationships/hyperlink" Target="https://my.zakupki.prom.ua/remote/dispatcher/state_purchase_view/26518539" TargetMode="External"/><Relationship Id="rId514" Type="http://schemas.openxmlformats.org/officeDocument/2006/relationships/hyperlink" Target="https://my.zakupki.prom.ua/remote/dispatcher/state_contracting_view/8161937" TargetMode="External"/><Relationship Id="rId556" Type="http://schemas.openxmlformats.org/officeDocument/2006/relationships/hyperlink" Target="https://my.zakupki.prom.ua/remote/dispatcher/state_contracting_view/11558596" TargetMode="External"/><Relationship Id="rId721" Type="http://schemas.openxmlformats.org/officeDocument/2006/relationships/hyperlink" Target="https://my.zakupki.prom.ua/remote/dispatcher/state_purchase_view/35603339" TargetMode="External"/><Relationship Id="rId763" Type="http://schemas.openxmlformats.org/officeDocument/2006/relationships/hyperlink" Target="https://my.zakupki.prom.ua/remote/dispatcher/state_purchase_view/37492444" TargetMode="External"/><Relationship Id="rId88" Type="http://schemas.openxmlformats.org/officeDocument/2006/relationships/hyperlink" Target="https://my.zakupki.prom.ua/remote/dispatcher/state_contracting_view/3475527" TargetMode="External"/><Relationship Id="rId111" Type="http://schemas.openxmlformats.org/officeDocument/2006/relationships/hyperlink" Target="https://my.zakupki.prom.ua/remote/dispatcher/state_purchase_view/16778464" TargetMode="External"/><Relationship Id="rId153" Type="http://schemas.openxmlformats.org/officeDocument/2006/relationships/hyperlink" Target="https://my.zakupki.prom.ua/remote/dispatcher/state_purchase_view/21015066" TargetMode="External"/><Relationship Id="rId195" Type="http://schemas.openxmlformats.org/officeDocument/2006/relationships/hyperlink" Target="https://my.zakupki.prom.ua/remote/dispatcher/state_purchase_view/21540194" TargetMode="External"/><Relationship Id="rId209" Type="http://schemas.openxmlformats.org/officeDocument/2006/relationships/hyperlink" Target="https://my.zakupki.prom.ua/remote/dispatcher/state_purchase_view/17324801" TargetMode="External"/><Relationship Id="rId360" Type="http://schemas.openxmlformats.org/officeDocument/2006/relationships/hyperlink" Target="https://my.zakupki.prom.ua/remote/dispatcher/state_contracting_view/11330138" TargetMode="External"/><Relationship Id="rId416" Type="http://schemas.openxmlformats.org/officeDocument/2006/relationships/hyperlink" Target="https://my.zakupki.prom.ua/remote/dispatcher/state_contracting_view/8737460" TargetMode="External"/><Relationship Id="rId598" Type="http://schemas.openxmlformats.org/officeDocument/2006/relationships/hyperlink" Target="https://my.zakupki.prom.ua/remote/dispatcher/state_contracting_view/11956712" TargetMode="External"/><Relationship Id="rId819" Type="http://schemas.openxmlformats.org/officeDocument/2006/relationships/hyperlink" Target="https://my.zakupki.prom.ua/remote/dispatcher/state_purchase_view/36664997" TargetMode="External"/><Relationship Id="rId220" Type="http://schemas.openxmlformats.org/officeDocument/2006/relationships/hyperlink" Target="https://my.zakupki.prom.ua/remote/dispatcher/state_contracting_view/4935877" TargetMode="External"/><Relationship Id="rId458" Type="http://schemas.openxmlformats.org/officeDocument/2006/relationships/hyperlink" Target="https://my.zakupki.prom.ua/remote/dispatcher/state_contracting_view/8862044" TargetMode="External"/><Relationship Id="rId623" Type="http://schemas.openxmlformats.org/officeDocument/2006/relationships/hyperlink" Target="https://my.zakupki.prom.ua/remote/dispatcher/state_purchase_view/27677269" TargetMode="External"/><Relationship Id="rId665" Type="http://schemas.openxmlformats.org/officeDocument/2006/relationships/hyperlink" Target="https://my.zakupki.prom.ua/remote/dispatcher/state_purchase_view/31498605" TargetMode="External"/><Relationship Id="rId830" Type="http://schemas.openxmlformats.org/officeDocument/2006/relationships/hyperlink" Target="https://my.zakupki.prom.ua/remote/dispatcher/state_contracting_view/13806604" TargetMode="External"/><Relationship Id="rId872" Type="http://schemas.openxmlformats.org/officeDocument/2006/relationships/hyperlink" Target="https://my.zakupki.prom.ua/remote/dispatcher/state_contracting_view/14365106" TargetMode="External"/><Relationship Id="rId928" Type="http://schemas.openxmlformats.org/officeDocument/2006/relationships/hyperlink" Target="https://my.zakupki.prom.ua/remote/dispatcher/state_contracting_view/12755194" TargetMode="External"/><Relationship Id="rId15" Type="http://schemas.openxmlformats.org/officeDocument/2006/relationships/hyperlink" Target="https://my.zakupki.prom.ua/remote/dispatcher/state_purchase_view/44000876" TargetMode="External"/><Relationship Id="rId57" Type="http://schemas.openxmlformats.org/officeDocument/2006/relationships/hyperlink" Target="https://my.zakupki.prom.ua/remote/dispatcher/state_purchase_view/6848306" TargetMode="External"/><Relationship Id="rId262" Type="http://schemas.openxmlformats.org/officeDocument/2006/relationships/hyperlink" Target="https://my.zakupki.prom.ua/remote/dispatcher/state_contracting_view/7108256" TargetMode="External"/><Relationship Id="rId318" Type="http://schemas.openxmlformats.org/officeDocument/2006/relationships/hyperlink" Target="https://my.zakupki.prom.ua/remote/dispatcher/state_contracting_view/9118721" TargetMode="External"/><Relationship Id="rId525" Type="http://schemas.openxmlformats.org/officeDocument/2006/relationships/hyperlink" Target="https://my.zakupki.prom.ua/remote/dispatcher/state_purchase_view/25890098" TargetMode="External"/><Relationship Id="rId567" Type="http://schemas.openxmlformats.org/officeDocument/2006/relationships/hyperlink" Target="https://my.zakupki.prom.ua/remote/dispatcher/state_purchase_view/24968285" TargetMode="External"/><Relationship Id="rId732" Type="http://schemas.openxmlformats.org/officeDocument/2006/relationships/hyperlink" Target="https://my.zakupki.prom.ua/remote/dispatcher/state_contracting_view/13760255" TargetMode="External"/><Relationship Id="rId99" Type="http://schemas.openxmlformats.org/officeDocument/2006/relationships/hyperlink" Target="https://my.zakupki.prom.ua/remote/dispatcher/state_purchase_view/16682039" TargetMode="External"/><Relationship Id="rId122" Type="http://schemas.openxmlformats.org/officeDocument/2006/relationships/hyperlink" Target="https://my.zakupki.prom.ua/remote/dispatcher/state_contracting_view/4833720" TargetMode="External"/><Relationship Id="rId164" Type="http://schemas.openxmlformats.org/officeDocument/2006/relationships/hyperlink" Target="https://my.zakupki.prom.ua/remote/dispatcher/state_contracting_view/5880303" TargetMode="External"/><Relationship Id="rId371" Type="http://schemas.openxmlformats.org/officeDocument/2006/relationships/hyperlink" Target="https://my.zakupki.prom.ua/remote/dispatcher/state_purchase_view/26488877" TargetMode="External"/><Relationship Id="rId774" Type="http://schemas.openxmlformats.org/officeDocument/2006/relationships/hyperlink" Target="https://my.zakupki.prom.ua/remote/dispatcher/state_contracting_view/14492803" TargetMode="External"/><Relationship Id="rId427" Type="http://schemas.openxmlformats.org/officeDocument/2006/relationships/hyperlink" Target="https://my.zakupki.prom.ua/remote/dispatcher/state_purchase_view/32650799" TargetMode="External"/><Relationship Id="rId469" Type="http://schemas.openxmlformats.org/officeDocument/2006/relationships/hyperlink" Target="https://my.zakupki.prom.ua/remote/dispatcher/state_purchase_view/29961962" TargetMode="External"/><Relationship Id="rId634" Type="http://schemas.openxmlformats.org/officeDocument/2006/relationships/hyperlink" Target="https://my.zakupki.prom.ua/remote/dispatcher/state_contracting_view/8161510" TargetMode="External"/><Relationship Id="rId676" Type="http://schemas.openxmlformats.org/officeDocument/2006/relationships/hyperlink" Target="https://my.zakupki.prom.ua/remote/dispatcher/state_contracting_view/12720936" TargetMode="External"/><Relationship Id="rId841" Type="http://schemas.openxmlformats.org/officeDocument/2006/relationships/hyperlink" Target="https://my.zakupki.prom.ua/remote/dispatcher/state_purchase_view/38038372" TargetMode="External"/><Relationship Id="rId883" Type="http://schemas.openxmlformats.org/officeDocument/2006/relationships/hyperlink" Target="https://my.zakupki.prom.ua/remote/dispatcher/state_purchase_view/38496538" TargetMode="External"/><Relationship Id="rId26" Type="http://schemas.openxmlformats.org/officeDocument/2006/relationships/hyperlink" Target="https://my.zakupki.prom.ua/remote/dispatcher/state_contracting_view/15905675" TargetMode="External"/><Relationship Id="rId231" Type="http://schemas.openxmlformats.org/officeDocument/2006/relationships/hyperlink" Target="https://my.zakupki.prom.ua/remote/dispatcher/state_purchase_view/21934499" TargetMode="External"/><Relationship Id="rId273" Type="http://schemas.openxmlformats.org/officeDocument/2006/relationships/hyperlink" Target="https://my.zakupki.prom.ua/remote/dispatcher/state_purchase_view/23036598" TargetMode="External"/><Relationship Id="rId329" Type="http://schemas.openxmlformats.org/officeDocument/2006/relationships/hyperlink" Target="https://my.zakupki.prom.ua/remote/dispatcher/state_purchase_view/24449431" TargetMode="External"/><Relationship Id="rId480" Type="http://schemas.openxmlformats.org/officeDocument/2006/relationships/hyperlink" Target="https://my.zakupki.prom.ua/remote/dispatcher/state_contracting_view/11687072" TargetMode="External"/><Relationship Id="rId536" Type="http://schemas.openxmlformats.org/officeDocument/2006/relationships/hyperlink" Target="https://my.zakupki.prom.ua/remote/dispatcher/state_contracting_view/7574704" TargetMode="External"/><Relationship Id="rId701" Type="http://schemas.openxmlformats.org/officeDocument/2006/relationships/hyperlink" Target="https://my.zakupki.prom.ua/remote/dispatcher/state_purchase_view/38186880" TargetMode="External"/><Relationship Id="rId939" Type="http://schemas.openxmlformats.org/officeDocument/2006/relationships/hyperlink" Target="https://my.zakupki.prom.ua/remote/dispatcher/state_purchase_view/35060438" TargetMode="External"/><Relationship Id="rId68" Type="http://schemas.openxmlformats.org/officeDocument/2006/relationships/hyperlink" Target="https://my.zakupki.prom.ua/remote/dispatcher/state_contracting_view/1434339" TargetMode="External"/><Relationship Id="rId133" Type="http://schemas.openxmlformats.org/officeDocument/2006/relationships/hyperlink" Target="https://my.zakupki.prom.ua/remote/dispatcher/state_purchase_view/20029771" TargetMode="External"/><Relationship Id="rId175" Type="http://schemas.openxmlformats.org/officeDocument/2006/relationships/hyperlink" Target="https://my.zakupki.prom.ua/remote/dispatcher/state_purchase_view/21030042" TargetMode="External"/><Relationship Id="rId340" Type="http://schemas.openxmlformats.org/officeDocument/2006/relationships/hyperlink" Target="https://my.zakupki.prom.ua/remote/dispatcher/state_contracting_view/11722031" TargetMode="External"/><Relationship Id="rId578" Type="http://schemas.openxmlformats.org/officeDocument/2006/relationships/hyperlink" Target="https://my.zakupki.prom.ua/remote/dispatcher/state_contracting_view/8559976" TargetMode="External"/><Relationship Id="rId743" Type="http://schemas.openxmlformats.org/officeDocument/2006/relationships/hyperlink" Target="https://my.zakupki.prom.ua/remote/dispatcher/state_purchase_view/38958352" TargetMode="External"/><Relationship Id="rId785" Type="http://schemas.openxmlformats.org/officeDocument/2006/relationships/hyperlink" Target="https://my.zakupki.prom.ua/remote/dispatcher/state_purchase_view/34449089" TargetMode="External"/><Relationship Id="rId200" Type="http://schemas.openxmlformats.org/officeDocument/2006/relationships/hyperlink" Target="https://my.zakupki.prom.ua/remote/dispatcher/state_contracting_view/3787000" TargetMode="External"/><Relationship Id="rId382" Type="http://schemas.openxmlformats.org/officeDocument/2006/relationships/hyperlink" Target="https://my.zakupki.prom.ua/remote/dispatcher/state_contracting_view/10794847" TargetMode="External"/><Relationship Id="rId438" Type="http://schemas.openxmlformats.org/officeDocument/2006/relationships/hyperlink" Target="https://my.zakupki.prom.ua/remote/dispatcher/state_contracting_view/8051936" TargetMode="External"/><Relationship Id="rId603" Type="http://schemas.openxmlformats.org/officeDocument/2006/relationships/hyperlink" Target="https://my.zakupki.prom.ua/remote/dispatcher/state_purchase_view/30621645" TargetMode="External"/><Relationship Id="rId645" Type="http://schemas.openxmlformats.org/officeDocument/2006/relationships/hyperlink" Target="https://my.zakupki.prom.ua/remote/dispatcher/state_purchase_view/24821781" TargetMode="External"/><Relationship Id="rId687" Type="http://schemas.openxmlformats.org/officeDocument/2006/relationships/hyperlink" Target="https://my.zakupki.prom.ua/remote/dispatcher/state_purchase_view/38053591" TargetMode="External"/><Relationship Id="rId810" Type="http://schemas.openxmlformats.org/officeDocument/2006/relationships/hyperlink" Target="https://my.zakupki.prom.ua/remote/dispatcher/state_contracting_view/13430888" TargetMode="External"/><Relationship Id="rId852" Type="http://schemas.openxmlformats.org/officeDocument/2006/relationships/hyperlink" Target="https://my.zakupki.prom.ua/remote/dispatcher/state_contracting_view/14492123" TargetMode="External"/><Relationship Id="rId908" Type="http://schemas.openxmlformats.org/officeDocument/2006/relationships/hyperlink" Target="https://my.zakupki.prom.ua/remote/dispatcher/state_contracting_view/12751511" TargetMode="External"/><Relationship Id="rId242" Type="http://schemas.openxmlformats.org/officeDocument/2006/relationships/hyperlink" Target="https://my.zakupki.prom.ua/remote/dispatcher/state_contracting_view/4250140" TargetMode="External"/><Relationship Id="rId284" Type="http://schemas.openxmlformats.org/officeDocument/2006/relationships/hyperlink" Target="https://my.zakupki.prom.ua/remote/dispatcher/state_contracting_view/8320198" TargetMode="External"/><Relationship Id="rId491" Type="http://schemas.openxmlformats.org/officeDocument/2006/relationships/hyperlink" Target="https://my.zakupki.prom.ua/remote/dispatcher/state_purchase_view/32653568" TargetMode="External"/><Relationship Id="rId505" Type="http://schemas.openxmlformats.org/officeDocument/2006/relationships/hyperlink" Target="https://my.zakupki.prom.ua/remote/dispatcher/state_purchase_view/25672073" TargetMode="External"/><Relationship Id="rId712" Type="http://schemas.openxmlformats.org/officeDocument/2006/relationships/hyperlink" Target="https://my.zakupki.prom.ua/remote/dispatcher/state_contracting_view/13148812" TargetMode="External"/><Relationship Id="rId894" Type="http://schemas.openxmlformats.org/officeDocument/2006/relationships/hyperlink" Target="https://my.zakupki.prom.ua/remote/dispatcher/state_contracting_view/14306006" TargetMode="External"/><Relationship Id="rId37" Type="http://schemas.openxmlformats.org/officeDocument/2006/relationships/hyperlink" Target="https://my.zakupki.prom.ua/remote/dispatcher/state_contracting_view/15563686" TargetMode="External"/><Relationship Id="rId79" Type="http://schemas.openxmlformats.org/officeDocument/2006/relationships/hyperlink" Target="https://my.zakupki.prom.ua/remote/dispatcher/state_purchase_view/11172035" TargetMode="External"/><Relationship Id="rId102" Type="http://schemas.openxmlformats.org/officeDocument/2006/relationships/hyperlink" Target="https://my.zakupki.prom.ua/remote/dispatcher/state_contracting_view/4332175" TargetMode="External"/><Relationship Id="rId144" Type="http://schemas.openxmlformats.org/officeDocument/2006/relationships/hyperlink" Target="https://my.zakupki.prom.ua/remote/dispatcher/state_contracting_view/6946490" TargetMode="External"/><Relationship Id="rId547" Type="http://schemas.openxmlformats.org/officeDocument/2006/relationships/hyperlink" Target="https://my.zakupki.prom.ua/remote/dispatcher/state_purchase_view/30977313" TargetMode="External"/><Relationship Id="rId589" Type="http://schemas.openxmlformats.org/officeDocument/2006/relationships/hyperlink" Target="https://my.zakupki.prom.ua/remote/dispatcher/state_purchase_view/26393845" TargetMode="External"/><Relationship Id="rId754" Type="http://schemas.openxmlformats.org/officeDocument/2006/relationships/hyperlink" Target="https://my.zakupki.prom.ua/remote/dispatcher/state_contracting_view/13678354" TargetMode="External"/><Relationship Id="rId796" Type="http://schemas.openxmlformats.org/officeDocument/2006/relationships/hyperlink" Target="https://my.zakupki.prom.ua/remote/dispatcher/state_contracting_view/12658796" TargetMode="External"/><Relationship Id="rId90" Type="http://schemas.openxmlformats.org/officeDocument/2006/relationships/hyperlink" Target="https://my.zakupki.prom.ua/remote/dispatcher/state_contracting_view/2831417" TargetMode="External"/><Relationship Id="rId186" Type="http://schemas.openxmlformats.org/officeDocument/2006/relationships/hyperlink" Target="https://my.zakupki.prom.ua/remote/dispatcher/state_contracting_view/5845594" TargetMode="External"/><Relationship Id="rId351" Type="http://schemas.openxmlformats.org/officeDocument/2006/relationships/hyperlink" Target="https://my.zakupki.prom.ua/remote/dispatcher/state_purchase_view/23800602" TargetMode="External"/><Relationship Id="rId393" Type="http://schemas.openxmlformats.org/officeDocument/2006/relationships/hyperlink" Target="https://my.zakupki.prom.ua/remote/dispatcher/state_purchase_view/32301812" TargetMode="External"/><Relationship Id="rId407" Type="http://schemas.openxmlformats.org/officeDocument/2006/relationships/hyperlink" Target="https://my.zakupki.prom.ua/remote/dispatcher/state_purchase_view/25057392" TargetMode="External"/><Relationship Id="rId449" Type="http://schemas.openxmlformats.org/officeDocument/2006/relationships/hyperlink" Target="https://my.zakupki.prom.ua/remote/dispatcher/state_purchase_view/26074433" TargetMode="External"/><Relationship Id="rId614" Type="http://schemas.openxmlformats.org/officeDocument/2006/relationships/hyperlink" Target="https://my.zakupki.prom.ua/remote/dispatcher/state_contracting_view/9512969" TargetMode="External"/><Relationship Id="rId656" Type="http://schemas.openxmlformats.org/officeDocument/2006/relationships/hyperlink" Target="https://my.zakupki.prom.ua/remote/dispatcher/state_contracting_view/11773307" TargetMode="External"/><Relationship Id="rId821" Type="http://schemas.openxmlformats.org/officeDocument/2006/relationships/hyperlink" Target="https://my.zakupki.prom.ua/remote/dispatcher/state_purchase_view/36045892" TargetMode="External"/><Relationship Id="rId863" Type="http://schemas.openxmlformats.org/officeDocument/2006/relationships/hyperlink" Target="https://my.zakupki.prom.ua/remote/dispatcher/state_purchase_view/35064937" TargetMode="External"/><Relationship Id="rId211" Type="http://schemas.openxmlformats.org/officeDocument/2006/relationships/hyperlink" Target="https://my.zakupki.prom.ua/remote/dispatcher/state_purchase_view/17143290" TargetMode="External"/><Relationship Id="rId253" Type="http://schemas.openxmlformats.org/officeDocument/2006/relationships/hyperlink" Target="https://my.zakupki.prom.ua/remote/dispatcher/state_purchase_view/14953144" TargetMode="External"/><Relationship Id="rId295" Type="http://schemas.openxmlformats.org/officeDocument/2006/relationships/hyperlink" Target="https://my.zakupki.prom.ua/remote/dispatcher/state_purchase_view/32581384" TargetMode="External"/><Relationship Id="rId309" Type="http://schemas.openxmlformats.org/officeDocument/2006/relationships/hyperlink" Target="https://my.zakupki.prom.ua/remote/dispatcher/state_purchase_view/32651783" TargetMode="External"/><Relationship Id="rId460" Type="http://schemas.openxmlformats.org/officeDocument/2006/relationships/hyperlink" Target="https://my.zakupki.prom.ua/remote/dispatcher/state_contracting_view/11282155" TargetMode="External"/><Relationship Id="rId516" Type="http://schemas.openxmlformats.org/officeDocument/2006/relationships/hyperlink" Target="https://my.zakupki.prom.ua/remote/dispatcher/state_contracting_view/8162279" TargetMode="External"/><Relationship Id="rId698" Type="http://schemas.openxmlformats.org/officeDocument/2006/relationships/hyperlink" Target="https://my.zakupki.prom.ua/remote/dispatcher/state_contracting_view/14566288" TargetMode="External"/><Relationship Id="rId919" Type="http://schemas.openxmlformats.org/officeDocument/2006/relationships/hyperlink" Target="https://my.zakupki.prom.ua/remote/dispatcher/state_purchase_view/38955865" TargetMode="External"/><Relationship Id="rId48" Type="http://schemas.openxmlformats.org/officeDocument/2006/relationships/hyperlink" Target="https://my.zakupki.prom.ua/remote/dispatcher/state_purchase_view/39849640" TargetMode="External"/><Relationship Id="rId113" Type="http://schemas.openxmlformats.org/officeDocument/2006/relationships/hyperlink" Target="https://my.zakupki.prom.ua/remote/dispatcher/state_purchase_view/16778354" TargetMode="External"/><Relationship Id="rId320" Type="http://schemas.openxmlformats.org/officeDocument/2006/relationships/hyperlink" Target="https://my.zakupki.prom.ua/remote/dispatcher/state_contracting_view/8456228" TargetMode="External"/><Relationship Id="rId558" Type="http://schemas.openxmlformats.org/officeDocument/2006/relationships/hyperlink" Target="https://my.zakupki.prom.ua/remote/dispatcher/state_contracting_view/11566993" TargetMode="External"/><Relationship Id="rId723" Type="http://schemas.openxmlformats.org/officeDocument/2006/relationships/hyperlink" Target="https://my.zakupki.prom.ua/remote/dispatcher/state_purchase_view/38578304" TargetMode="External"/><Relationship Id="rId765" Type="http://schemas.openxmlformats.org/officeDocument/2006/relationships/hyperlink" Target="https://my.zakupki.prom.ua/remote/dispatcher/state_purchase_view/38552993" TargetMode="External"/><Relationship Id="rId930" Type="http://schemas.openxmlformats.org/officeDocument/2006/relationships/hyperlink" Target="https://my.zakupki.prom.ua/remote/dispatcher/state_contracting_view/12831815" TargetMode="External"/><Relationship Id="rId155" Type="http://schemas.openxmlformats.org/officeDocument/2006/relationships/hyperlink" Target="https://my.zakupki.prom.ua/remote/dispatcher/state_purchase_view/21012341" TargetMode="External"/><Relationship Id="rId197" Type="http://schemas.openxmlformats.org/officeDocument/2006/relationships/hyperlink" Target="https://my.zakupki.prom.ua/remote/dispatcher/state_purchase_view/22338357" TargetMode="External"/><Relationship Id="rId362" Type="http://schemas.openxmlformats.org/officeDocument/2006/relationships/hyperlink" Target="https://my.zakupki.prom.ua/remote/dispatcher/state_contracting_view/11325486" TargetMode="External"/><Relationship Id="rId418" Type="http://schemas.openxmlformats.org/officeDocument/2006/relationships/hyperlink" Target="https://my.zakupki.prom.ua/remote/dispatcher/state_contracting_view/7587903" TargetMode="External"/><Relationship Id="rId625" Type="http://schemas.openxmlformats.org/officeDocument/2006/relationships/hyperlink" Target="https://my.zakupki.prom.ua/remote/dispatcher/state_purchase_view/26519722" TargetMode="External"/><Relationship Id="rId832" Type="http://schemas.openxmlformats.org/officeDocument/2006/relationships/hyperlink" Target="https://my.zakupki.prom.ua/remote/dispatcher/state_contracting_view/13337179" TargetMode="External"/><Relationship Id="rId222" Type="http://schemas.openxmlformats.org/officeDocument/2006/relationships/hyperlink" Target="https://my.zakupki.prom.ua/remote/dispatcher/state_contracting_view/4706604" TargetMode="External"/><Relationship Id="rId264" Type="http://schemas.openxmlformats.org/officeDocument/2006/relationships/hyperlink" Target="https://my.zakupki.prom.ua/remote/dispatcher/state_contracting_view/4471166" TargetMode="External"/><Relationship Id="rId471" Type="http://schemas.openxmlformats.org/officeDocument/2006/relationships/hyperlink" Target="https://my.zakupki.prom.ua/remote/dispatcher/state_purchase_view/30190075" TargetMode="External"/><Relationship Id="rId667" Type="http://schemas.openxmlformats.org/officeDocument/2006/relationships/hyperlink" Target="https://my.zakupki.prom.ua/remote/dispatcher/state_purchase_view/26212789" TargetMode="External"/><Relationship Id="rId874" Type="http://schemas.openxmlformats.org/officeDocument/2006/relationships/hyperlink" Target="https://my.zakupki.prom.ua/remote/dispatcher/state_contracting_view/14492862" TargetMode="External"/><Relationship Id="rId17" Type="http://schemas.openxmlformats.org/officeDocument/2006/relationships/hyperlink" Target="https://my.zakupki.prom.ua/remote/dispatcher/state_purchase_view/44399229" TargetMode="External"/><Relationship Id="rId59" Type="http://schemas.openxmlformats.org/officeDocument/2006/relationships/hyperlink" Target="https://my.zakupki.prom.ua/remote/dispatcher/state_purchase_view/6848055" TargetMode="External"/><Relationship Id="rId124" Type="http://schemas.openxmlformats.org/officeDocument/2006/relationships/hyperlink" Target="https://my.zakupki.prom.ua/remote/dispatcher/state_contracting_view/4840614" TargetMode="External"/><Relationship Id="rId527" Type="http://schemas.openxmlformats.org/officeDocument/2006/relationships/hyperlink" Target="https://my.zakupki.prom.ua/remote/dispatcher/state_purchase_view/25890518" TargetMode="External"/><Relationship Id="rId569" Type="http://schemas.openxmlformats.org/officeDocument/2006/relationships/hyperlink" Target="https://my.zakupki.prom.ua/remote/dispatcher/state_purchase_view/24969109" TargetMode="External"/><Relationship Id="rId734" Type="http://schemas.openxmlformats.org/officeDocument/2006/relationships/hyperlink" Target="https://my.zakupki.prom.ua/remote/dispatcher/state_contracting_view/13805845" TargetMode="External"/><Relationship Id="rId776" Type="http://schemas.openxmlformats.org/officeDocument/2006/relationships/hyperlink" Target="https://my.zakupki.prom.ua/remote/dispatcher/state_contracting_view/13590452" TargetMode="External"/><Relationship Id="rId70" Type="http://schemas.openxmlformats.org/officeDocument/2006/relationships/hyperlink" Target="https://my.zakupki.prom.ua/remote/dispatcher/state_contracting_view/2298501" TargetMode="External"/><Relationship Id="rId166" Type="http://schemas.openxmlformats.org/officeDocument/2006/relationships/hyperlink" Target="https://my.zakupki.prom.ua/remote/dispatcher/state_contracting_view/5053305" TargetMode="External"/><Relationship Id="rId331" Type="http://schemas.openxmlformats.org/officeDocument/2006/relationships/hyperlink" Target="https://my.zakupki.prom.ua/remote/dispatcher/state_purchase_view/23867135" TargetMode="External"/><Relationship Id="rId373" Type="http://schemas.openxmlformats.org/officeDocument/2006/relationships/hyperlink" Target="https://my.zakupki.prom.ua/remote/dispatcher/state_purchase_view/26894722" TargetMode="External"/><Relationship Id="rId429" Type="http://schemas.openxmlformats.org/officeDocument/2006/relationships/hyperlink" Target="https://my.zakupki.prom.ua/remote/dispatcher/state_purchase_view/32316446" TargetMode="External"/><Relationship Id="rId580" Type="http://schemas.openxmlformats.org/officeDocument/2006/relationships/hyperlink" Target="https://my.zakupki.prom.ua/remote/dispatcher/state_contracting_view/8562168" TargetMode="External"/><Relationship Id="rId636" Type="http://schemas.openxmlformats.org/officeDocument/2006/relationships/hyperlink" Target="https://my.zakupki.prom.ua/remote/dispatcher/state_contracting_view/8120395" TargetMode="External"/><Relationship Id="rId801" Type="http://schemas.openxmlformats.org/officeDocument/2006/relationships/hyperlink" Target="https://my.zakupki.prom.ua/remote/dispatcher/state_purchase_view/38199752" TargetMode="External"/><Relationship Id="rId1" Type="http://schemas.openxmlformats.org/officeDocument/2006/relationships/hyperlink" Target="https://my.zakupki.prom.ua/remote/dispatcher/state_purchase_view/40344115" TargetMode="External"/><Relationship Id="rId233" Type="http://schemas.openxmlformats.org/officeDocument/2006/relationships/hyperlink" Target="https://my.zakupki.prom.ua/remote/dispatcher/state_purchase_view/21539540" TargetMode="External"/><Relationship Id="rId440" Type="http://schemas.openxmlformats.org/officeDocument/2006/relationships/hyperlink" Target="https://my.zakupki.prom.ua/remote/dispatcher/state_contracting_view/8456502" TargetMode="External"/><Relationship Id="rId678" Type="http://schemas.openxmlformats.org/officeDocument/2006/relationships/hyperlink" Target="https://my.zakupki.prom.ua/remote/dispatcher/state_contracting_view/12721049" TargetMode="External"/><Relationship Id="rId843" Type="http://schemas.openxmlformats.org/officeDocument/2006/relationships/hyperlink" Target="https://my.zakupki.prom.ua/remote/dispatcher/state_purchase_view/35783530" TargetMode="External"/><Relationship Id="rId885" Type="http://schemas.openxmlformats.org/officeDocument/2006/relationships/hyperlink" Target="https://my.zakupki.prom.ua/remote/dispatcher/state_purchase_view/38675480" TargetMode="External"/><Relationship Id="rId28" Type="http://schemas.openxmlformats.org/officeDocument/2006/relationships/hyperlink" Target="https://my.zakupki.prom.ua/remote/dispatcher/state_contracting_view/16262922" TargetMode="External"/><Relationship Id="rId275" Type="http://schemas.openxmlformats.org/officeDocument/2006/relationships/hyperlink" Target="https://my.zakupki.prom.ua/remote/dispatcher/state_purchase_view/23036026" TargetMode="External"/><Relationship Id="rId300" Type="http://schemas.openxmlformats.org/officeDocument/2006/relationships/hyperlink" Target="https://my.zakupki.prom.ua/remote/dispatcher/state_contracting_view/10606423" TargetMode="External"/><Relationship Id="rId482" Type="http://schemas.openxmlformats.org/officeDocument/2006/relationships/hyperlink" Target="https://my.zakupki.prom.ua/remote/dispatcher/state_contracting_view/9108519" TargetMode="External"/><Relationship Id="rId538" Type="http://schemas.openxmlformats.org/officeDocument/2006/relationships/hyperlink" Target="https://my.zakupki.prom.ua/remote/dispatcher/state_contracting_view/11370755" TargetMode="External"/><Relationship Id="rId703" Type="http://schemas.openxmlformats.org/officeDocument/2006/relationships/hyperlink" Target="https://my.zakupki.prom.ua/remote/dispatcher/state_purchase_view/36746646" TargetMode="External"/><Relationship Id="rId745" Type="http://schemas.openxmlformats.org/officeDocument/2006/relationships/hyperlink" Target="https://my.zakupki.prom.ua/remote/dispatcher/state_purchase_view/35623494" TargetMode="External"/><Relationship Id="rId910" Type="http://schemas.openxmlformats.org/officeDocument/2006/relationships/hyperlink" Target="https://my.zakupki.prom.ua/remote/dispatcher/state_contracting_view/14121989" TargetMode="External"/><Relationship Id="rId81" Type="http://schemas.openxmlformats.org/officeDocument/2006/relationships/hyperlink" Target="https://my.zakupki.prom.ua/remote/dispatcher/state_purchase_view/11170707" TargetMode="External"/><Relationship Id="rId135" Type="http://schemas.openxmlformats.org/officeDocument/2006/relationships/hyperlink" Target="https://my.zakupki.prom.ua/remote/dispatcher/state_purchase_view/18528348" TargetMode="External"/><Relationship Id="rId177" Type="http://schemas.openxmlformats.org/officeDocument/2006/relationships/hyperlink" Target="https://my.zakupki.prom.ua/remote/dispatcher/state_purchase_view/19848148" TargetMode="External"/><Relationship Id="rId342" Type="http://schemas.openxmlformats.org/officeDocument/2006/relationships/hyperlink" Target="https://my.zakupki.prom.ua/remote/dispatcher/state_contracting_view/12092618" TargetMode="External"/><Relationship Id="rId384" Type="http://schemas.openxmlformats.org/officeDocument/2006/relationships/hyperlink" Target="https://my.zakupki.prom.ua/remote/dispatcher/state_contracting_view/11059073" TargetMode="External"/><Relationship Id="rId591" Type="http://schemas.openxmlformats.org/officeDocument/2006/relationships/hyperlink" Target="https://my.zakupki.prom.ua/remote/dispatcher/state_purchase_view/24582336" TargetMode="External"/><Relationship Id="rId605" Type="http://schemas.openxmlformats.org/officeDocument/2006/relationships/hyperlink" Target="https://my.zakupki.prom.ua/remote/dispatcher/state_purchase_view/33019102" TargetMode="External"/><Relationship Id="rId787" Type="http://schemas.openxmlformats.org/officeDocument/2006/relationships/hyperlink" Target="https://my.zakupki.prom.ua/remote/dispatcher/state_purchase_view/35586191" TargetMode="External"/><Relationship Id="rId812" Type="http://schemas.openxmlformats.org/officeDocument/2006/relationships/hyperlink" Target="https://my.zakupki.prom.ua/remote/dispatcher/state_contracting_view/14705901" TargetMode="External"/><Relationship Id="rId202" Type="http://schemas.openxmlformats.org/officeDocument/2006/relationships/hyperlink" Target="https://my.zakupki.prom.ua/remote/dispatcher/state_contracting_view/4879141" TargetMode="External"/><Relationship Id="rId244" Type="http://schemas.openxmlformats.org/officeDocument/2006/relationships/hyperlink" Target="https://my.zakupki.prom.ua/remote/dispatcher/state_contracting_view/5561518" TargetMode="External"/><Relationship Id="rId647" Type="http://schemas.openxmlformats.org/officeDocument/2006/relationships/hyperlink" Target="https://my.zakupki.prom.ua/remote/dispatcher/state_purchase_view/24571857" TargetMode="External"/><Relationship Id="rId689" Type="http://schemas.openxmlformats.org/officeDocument/2006/relationships/hyperlink" Target="https://my.zakupki.prom.ua/remote/dispatcher/state_purchase_view/38999276" TargetMode="External"/><Relationship Id="rId854" Type="http://schemas.openxmlformats.org/officeDocument/2006/relationships/hyperlink" Target="https://my.zakupki.prom.ua/remote/dispatcher/state_contracting_view/12730034" TargetMode="External"/><Relationship Id="rId896" Type="http://schemas.openxmlformats.org/officeDocument/2006/relationships/hyperlink" Target="https://my.zakupki.prom.ua/remote/dispatcher/state_contracting_view/14233796" TargetMode="External"/><Relationship Id="rId39" Type="http://schemas.openxmlformats.org/officeDocument/2006/relationships/hyperlink" Target="https://my.zakupki.prom.ua/remote/dispatcher/state_contracting_view/16376822" TargetMode="External"/><Relationship Id="rId286" Type="http://schemas.openxmlformats.org/officeDocument/2006/relationships/hyperlink" Target="https://my.zakupki.prom.ua/remote/dispatcher/state_contracting_view/8293194" TargetMode="External"/><Relationship Id="rId451" Type="http://schemas.openxmlformats.org/officeDocument/2006/relationships/hyperlink" Target="https://my.zakupki.prom.ua/remote/dispatcher/state_purchase_view/23058603" TargetMode="External"/><Relationship Id="rId493" Type="http://schemas.openxmlformats.org/officeDocument/2006/relationships/hyperlink" Target="https://my.zakupki.prom.ua/remote/dispatcher/state_purchase_view/31214522" TargetMode="External"/><Relationship Id="rId507" Type="http://schemas.openxmlformats.org/officeDocument/2006/relationships/hyperlink" Target="https://my.zakupki.prom.ua/remote/dispatcher/state_purchase_view/25519137" TargetMode="External"/><Relationship Id="rId549" Type="http://schemas.openxmlformats.org/officeDocument/2006/relationships/hyperlink" Target="https://my.zakupki.prom.ua/remote/dispatcher/state_purchase_view/30978102" TargetMode="External"/><Relationship Id="rId714" Type="http://schemas.openxmlformats.org/officeDocument/2006/relationships/hyperlink" Target="https://my.zakupki.prom.ua/remote/dispatcher/state_contracting_view/13148811" TargetMode="External"/><Relationship Id="rId756" Type="http://schemas.openxmlformats.org/officeDocument/2006/relationships/hyperlink" Target="https://my.zakupki.prom.ua/remote/dispatcher/state_contracting_view/13642955" TargetMode="External"/><Relationship Id="rId921" Type="http://schemas.openxmlformats.org/officeDocument/2006/relationships/hyperlink" Target="https://my.zakupki.prom.ua/remote/dispatcher/state_purchase_view/35760770" TargetMode="External"/><Relationship Id="rId50" Type="http://schemas.openxmlformats.org/officeDocument/2006/relationships/hyperlink" Target="https://my.zakupki.prom.ua/remote/dispatcher/state_contracting_view/625314" TargetMode="External"/><Relationship Id="rId104" Type="http://schemas.openxmlformats.org/officeDocument/2006/relationships/hyperlink" Target="https://my.zakupki.prom.ua/remote/dispatcher/state_contracting_view/4320065" TargetMode="External"/><Relationship Id="rId146" Type="http://schemas.openxmlformats.org/officeDocument/2006/relationships/hyperlink" Target="https://my.zakupki.prom.ua/remote/dispatcher/state_contracting_view/6220807" TargetMode="External"/><Relationship Id="rId188" Type="http://schemas.openxmlformats.org/officeDocument/2006/relationships/hyperlink" Target="https://my.zakupki.prom.ua/remote/dispatcher/state_contracting_view/4776607" TargetMode="External"/><Relationship Id="rId311" Type="http://schemas.openxmlformats.org/officeDocument/2006/relationships/hyperlink" Target="https://my.zakupki.prom.ua/remote/dispatcher/state_purchase_view/32652627" TargetMode="External"/><Relationship Id="rId353" Type="http://schemas.openxmlformats.org/officeDocument/2006/relationships/hyperlink" Target="https://my.zakupki.prom.ua/remote/dispatcher/state_purchase_view/23633940" TargetMode="External"/><Relationship Id="rId395" Type="http://schemas.openxmlformats.org/officeDocument/2006/relationships/hyperlink" Target="https://my.zakupki.prom.ua/remote/dispatcher/state_purchase_view/32449090" TargetMode="External"/><Relationship Id="rId409" Type="http://schemas.openxmlformats.org/officeDocument/2006/relationships/hyperlink" Target="https://my.zakupki.prom.ua/remote/dispatcher/state_purchase_view/25209103" TargetMode="External"/><Relationship Id="rId560" Type="http://schemas.openxmlformats.org/officeDocument/2006/relationships/hyperlink" Target="https://my.zakupki.prom.ua/remote/dispatcher/state_contracting_view/9660991" TargetMode="External"/><Relationship Id="rId798" Type="http://schemas.openxmlformats.org/officeDocument/2006/relationships/hyperlink" Target="https://my.zakupki.prom.ua/remote/dispatcher/state_contracting_view/14807363" TargetMode="External"/><Relationship Id="rId92" Type="http://schemas.openxmlformats.org/officeDocument/2006/relationships/hyperlink" Target="https://my.zakupki.prom.ua/remote/dispatcher/state_contracting_view/3255996" TargetMode="External"/><Relationship Id="rId213" Type="http://schemas.openxmlformats.org/officeDocument/2006/relationships/hyperlink" Target="https://my.zakupki.prom.ua/remote/dispatcher/state_purchase_view/16826445" TargetMode="External"/><Relationship Id="rId420" Type="http://schemas.openxmlformats.org/officeDocument/2006/relationships/hyperlink" Target="https://my.zakupki.prom.ua/remote/dispatcher/state_contracting_view/7604109" TargetMode="External"/><Relationship Id="rId616" Type="http://schemas.openxmlformats.org/officeDocument/2006/relationships/hyperlink" Target="https://my.zakupki.prom.ua/remote/dispatcher/state_contracting_view/8788364" TargetMode="External"/><Relationship Id="rId658" Type="http://schemas.openxmlformats.org/officeDocument/2006/relationships/hyperlink" Target="https://my.zakupki.prom.ua/remote/dispatcher/state_contracting_view/12102966" TargetMode="External"/><Relationship Id="rId823" Type="http://schemas.openxmlformats.org/officeDocument/2006/relationships/hyperlink" Target="https://my.zakupki.prom.ua/remote/dispatcher/state_purchase_view/35929775" TargetMode="External"/><Relationship Id="rId865" Type="http://schemas.openxmlformats.org/officeDocument/2006/relationships/hyperlink" Target="https://my.zakupki.prom.ua/remote/dispatcher/state_purchase_view/35734650" TargetMode="External"/><Relationship Id="rId255" Type="http://schemas.openxmlformats.org/officeDocument/2006/relationships/hyperlink" Target="https://my.zakupki.prom.ua/remote/dispatcher/state_purchase_view/22340618" TargetMode="External"/><Relationship Id="rId297" Type="http://schemas.openxmlformats.org/officeDocument/2006/relationships/hyperlink" Target="https://my.zakupki.prom.ua/remote/dispatcher/state_purchase_view/32317038" TargetMode="External"/><Relationship Id="rId462" Type="http://schemas.openxmlformats.org/officeDocument/2006/relationships/hyperlink" Target="https://my.zakupki.prom.ua/remote/dispatcher/state_contracting_view/11282692" TargetMode="External"/><Relationship Id="rId518" Type="http://schemas.openxmlformats.org/officeDocument/2006/relationships/hyperlink" Target="https://my.zakupki.prom.ua/remote/dispatcher/state_contracting_view/8244491" TargetMode="External"/><Relationship Id="rId725" Type="http://schemas.openxmlformats.org/officeDocument/2006/relationships/hyperlink" Target="https://my.zakupki.prom.ua/remote/dispatcher/state_purchase_view/38417951" TargetMode="External"/><Relationship Id="rId932" Type="http://schemas.openxmlformats.org/officeDocument/2006/relationships/hyperlink" Target="https://my.zakupki.prom.ua/remote/dispatcher/state_contracting_view/12726799" TargetMode="External"/><Relationship Id="rId115" Type="http://schemas.openxmlformats.org/officeDocument/2006/relationships/hyperlink" Target="https://my.zakupki.prom.ua/remote/dispatcher/state_purchase_view/16778221" TargetMode="External"/><Relationship Id="rId157" Type="http://schemas.openxmlformats.org/officeDocument/2006/relationships/hyperlink" Target="https://my.zakupki.prom.ua/remote/dispatcher/state_purchase_view/22336940" TargetMode="External"/><Relationship Id="rId322" Type="http://schemas.openxmlformats.org/officeDocument/2006/relationships/hyperlink" Target="https://my.zakupki.prom.ua/remote/dispatcher/state_contracting_view/9043748" TargetMode="External"/><Relationship Id="rId364" Type="http://schemas.openxmlformats.org/officeDocument/2006/relationships/hyperlink" Target="https://my.zakupki.prom.ua/remote/dispatcher/state_contracting_view/11566739" TargetMode="External"/><Relationship Id="rId767" Type="http://schemas.openxmlformats.org/officeDocument/2006/relationships/hyperlink" Target="https://my.zakupki.prom.ua/remote/dispatcher/state_purchase_view/38495603" TargetMode="External"/><Relationship Id="rId61" Type="http://schemas.openxmlformats.org/officeDocument/2006/relationships/hyperlink" Target="https://my.zakupki.prom.ua/remote/dispatcher/state_purchase_view/6848938" TargetMode="External"/><Relationship Id="rId199" Type="http://schemas.openxmlformats.org/officeDocument/2006/relationships/hyperlink" Target="https://my.zakupki.prom.ua/remote/dispatcher/state_purchase_view/19850608" TargetMode="External"/><Relationship Id="rId571" Type="http://schemas.openxmlformats.org/officeDocument/2006/relationships/hyperlink" Target="https://my.zakupki.prom.ua/remote/dispatcher/state_purchase_view/26534334" TargetMode="External"/><Relationship Id="rId627" Type="http://schemas.openxmlformats.org/officeDocument/2006/relationships/hyperlink" Target="https://my.zakupki.prom.ua/remote/dispatcher/state_purchase_view/25208628" TargetMode="External"/><Relationship Id="rId669" Type="http://schemas.openxmlformats.org/officeDocument/2006/relationships/hyperlink" Target="https://my.zakupki.prom.ua/remote/dispatcher/state_purchase_view/25893625" TargetMode="External"/><Relationship Id="rId834" Type="http://schemas.openxmlformats.org/officeDocument/2006/relationships/hyperlink" Target="https://my.zakupki.prom.ua/remote/dispatcher/state_contracting_view/13254530" TargetMode="External"/><Relationship Id="rId876" Type="http://schemas.openxmlformats.org/officeDocument/2006/relationships/hyperlink" Target="https://my.zakupki.prom.ua/remote/dispatcher/state_contracting_view/13088848" TargetMode="External"/><Relationship Id="rId19" Type="http://schemas.openxmlformats.org/officeDocument/2006/relationships/hyperlink" Target="https://my.zakupki.prom.ua/remote/dispatcher/state_purchase_view/44431029" TargetMode="External"/><Relationship Id="rId224" Type="http://schemas.openxmlformats.org/officeDocument/2006/relationships/hyperlink" Target="https://my.zakupki.prom.ua/remote/dispatcher/state_contracting_view/4474361" TargetMode="External"/><Relationship Id="rId266" Type="http://schemas.openxmlformats.org/officeDocument/2006/relationships/hyperlink" Target="https://my.zakupki.prom.ua/remote/dispatcher/state_contracting_view/4707129" TargetMode="External"/><Relationship Id="rId431" Type="http://schemas.openxmlformats.org/officeDocument/2006/relationships/hyperlink" Target="https://my.zakupki.prom.ua/remote/dispatcher/state_purchase_view/25497909" TargetMode="External"/><Relationship Id="rId473" Type="http://schemas.openxmlformats.org/officeDocument/2006/relationships/hyperlink" Target="https://my.zakupki.prom.ua/remote/dispatcher/state_purchase_view/26520133" TargetMode="External"/><Relationship Id="rId529" Type="http://schemas.openxmlformats.org/officeDocument/2006/relationships/hyperlink" Target="https://my.zakupki.prom.ua/remote/dispatcher/state_purchase_view/24580613" TargetMode="External"/><Relationship Id="rId680" Type="http://schemas.openxmlformats.org/officeDocument/2006/relationships/hyperlink" Target="https://my.zakupki.prom.ua/remote/dispatcher/state_contracting_view/13217821" TargetMode="External"/><Relationship Id="rId736" Type="http://schemas.openxmlformats.org/officeDocument/2006/relationships/hyperlink" Target="https://my.zakupki.prom.ua/remote/dispatcher/state_contracting_view/13559841" TargetMode="External"/><Relationship Id="rId901" Type="http://schemas.openxmlformats.org/officeDocument/2006/relationships/hyperlink" Target="https://my.zakupki.prom.ua/remote/dispatcher/state_purchase_view/37658050" TargetMode="External"/><Relationship Id="rId30" Type="http://schemas.openxmlformats.org/officeDocument/2006/relationships/hyperlink" Target="https://my.zakupki.prom.ua/remote/dispatcher/state_contracting_view/16147512" TargetMode="External"/><Relationship Id="rId126" Type="http://schemas.openxmlformats.org/officeDocument/2006/relationships/hyperlink" Target="https://my.zakupki.prom.ua/remote/dispatcher/state_contracting_view/4840625" TargetMode="External"/><Relationship Id="rId168" Type="http://schemas.openxmlformats.org/officeDocument/2006/relationships/hyperlink" Target="https://my.zakupki.prom.ua/remote/dispatcher/state_contracting_view/4380547" TargetMode="External"/><Relationship Id="rId333" Type="http://schemas.openxmlformats.org/officeDocument/2006/relationships/hyperlink" Target="https://my.zakupki.prom.ua/remote/dispatcher/state_purchase_view/24577463" TargetMode="External"/><Relationship Id="rId540" Type="http://schemas.openxmlformats.org/officeDocument/2006/relationships/hyperlink" Target="https://my.zakupki.prom.ua/remote/dispatcher/state_contracting_view/11892555" TargetMode="External"/><Relationship Id="rId778" Type="http://schemas.openxmlformats.org/officeDocument/2006/relationships/hyperlink" Target="https://my.zakupki.prom.ua/remote/dispatcher/state_contracting_view/13466151" TargetMode="External"/><Relationship Id="rId72" Type="http://schemas.openxmlformats.org/officeDocument/2006/relationships/hyperlink" Target="https://my.zakupki.prom.ua/remote/dispatcher/state_contracting_view/2134077" TargetMode="External"/><Relationship Id="rId375" Type="http://schemas.openxmlformats.org/officeDocument/2006/relationships/hyperlink" Target="https://my.zakupki.prom.ua/remote/dispatcher/state_purchase_view/28870593" TargetMode="External"/><Relationship Id="rId582" Type="http://schemas.openxmlformats.org/officeDocument/2006/relationships/hyperlink" Target="https://my.zakupki.prom.ua/remote/dispatcher/state_contracting_view/9076832" TargetMode="External"/><Relationship Id="rId638" Type="http://schemas.openxmlformats.org/officeDocument/2006/relationships/hyperlink" Target="https://my.zakupki.prom.ua/remote/dispatcher/state_contracting_view/8120840" TargetMode="External"/><Relationship Id="rId803" Type="http://schemas.openxmlformats.org/officeDocument/2006/relationships/hyperlink" Target="https://my.zakupki.prom.ua/remote/dispatcher/state_purchase_view/38037052" TargetMode="External"/><Relationship Id="rId845" Type="http://schemas.openxmlformats.org/officeDocument/2006/relationships/hyperlink" Target="https://my.zakupki.prom.ua/remote/dispatcher/state_purchase_view/38576188" TargetMode="External"/><Relationship Id="rId3" Type="http://schemas.openxmlformats.org/officeDocument/2006/relationships/hyperlink" Target="https://my.zakupki.prom.ua/remote/dispatcher/state_purchase_view/40843259" TargetMode="External"/><Relationship Id="rId235" Type="http://schemas.openxmlformats.org/officeDocument/2006/relationships/hyperlink" Target="https://my.zakupki.prom.ua/remote/dispatcher/state_purchase_view/22689016" TargetMode="External"/><Relationship Id="rId277" Type="http://schemas.openxmlformats.org/officeDocument/2006/relationships/hyperlink" Target="https://my.zakupki.prom.ua/remote/dispatcher/state_purchase_view/23796627" TargetMode="External"/><Relationship Id="rId400" Type="http://schemas.openxmlformats.org/officeDocument/2006/relationships/hyperlink" Target="https://my.zakupki.prom.ua/remote/dispatcher/state_contracting_view/11774057" TargetMode="External"/><Relationship Id="rId442" Type="http://schemas.openxmlformats.org/officeDocument/2006/relationships/hyperlink" Target="https://my.zakupki.prom.ua/remote/dispatcher/state_contracting_view/8456074" TargetMode="External"/><Relationship Id="rId484" Type="http://schemas.openxmlformats.org/officeDocument/2006/relationships/hyperlink" Target="https://my.zakupki.prom.ua/remote/dispatcher/state_contracting_view/10819787" TargetMode="External"/><Relationship Id="rId705" Type="http://schemas.openxmlformats.org/officeDocument/2006/relationships/hyperlink" Target="https://my.zakupki.prom.ua/remote/dispatcher/state_purchase_view/36290083" TargetMode="External"/><Relationship Id="rId887" Type="http://schemas.openxmlformats.org/officeDocument/2006/relationships/hyperlink" Target="https://my.zakupki.prom.ua/remote/dispatcher/state_purchase_view/36662729" TargetMode="External"/><Relationship Id="rId137" Type="http://schemas.openxmlformats.org/officeDocument/2006/relationships/hyperlink" Target="https://my.zakupki.prom.ua/remote/dispatcher/state_purchase_view/20984195" TargetMode="External"/><Relationship Id="rId302" Type="http://schemas.openxmlformats.org/officeDocument/2006/relationships/hyperlink" Target="https://my.zakupki.prom.ua/remote/dispatcher/state_contracting_view/11377405" TargetMode="External"/><Relationship Id="rId344" Type="http://schemas.openxmlformats.org/officeDocument/2006/relationships/hyperlink" Target="https://my.zakupki.prom.ua/remote/dispatcher/state_contracting_view/8561258" TargetMode="External"/><Relationship Id="rId691" Type="http://schemas.openxmlformats.org/officeDocument/2006/relationships/hyperlink" Target="https://my.zakupki.prom.ua/remote/dispatcher/state_purchase_view/34837070" TargetMode="External"/><Relationship Id="rId747" Type="http://schemas.openxmlformats.org/officeDocument/2006/relationships/hyperlink" Target="https://my.zakupki.prom.ua/remote/dispatcher/state_purchase_view/35783445" TargetMode="External"/><Relationship Id="rId789" Type="http://schemas.openxmlformats.org/officeDocument/2006/relationships/hyperlink" Target="https://my.zakupki.prom.ua/remote/dispatcher/state_purchase_view/35783780" TargetMode="External"/><Relationship Id="rId912" Type="http://schemas.openxmlformats.org/officeDocument/2006/relationships/hyperlink" Target="https://my.zakupki.prom.ua/remote/dispatcher/state_contracting_view/13806221" TargetMode="External"/><Relationship Id="rId41" Type="http://schemas.openxmlformats.org/officeDocument/2006/relationships/hyperlink" Target="https://my.zakupki.prom.ua/remote/dispatcher/state_contracting_view/16477131" TargetMode="External"/><Relationship Id="rId83" Type="http://schemas.openxmlformats.org/officeDocument/2006/relationships/hyperlink" Target="https://my.zakupki.prom.ua/remote/dispatcher/state_purchase_view/11170610" TargetMode="External"/><Relationship Id="rId179" Type="http://schemas.openxmlformats.org/officeDocument/2006/relationships/hyperlink" Target="https://my.zakupki.prom.ua/remote/dispatcher/state_purchase_view/19455503" TargetMode="External"/><Relationship Id="rId386" Type="http://schemas.openxmlformats.org/officeDocument/2006/relationships/hyperlink" Target="https://my.zakupki.prom.ua/remote/dispatcher/state_contracting_view/10981495" TargetMode="External"/><Relationship Id="rId551" Type="http://schemas.openxmlformats.org/officeDocument/2006/relationships/hyperlink" Target="https://my.zakupki.prom.ua/remote/dispatcher/state_purchase_view/30199506" TargetMode="External"/><Relationship Id="rId593" Type="http://schemas.openxmlformats.org/officeDocument/2006/relationships/hyperlink" Target="https://my.zakupki.prom.ua/remote/dispatcher/state_purchase_view/23611772" TargetMode="External"/><Relationship Id="rId607" Type="http://schemas.openxmlformats.org/officeDocument/2006/relationships/hyperlink" Target="https://my.zakupki.prom.ua/remote/dispatcher/state_purchase_view/32119991" TargetMode="External"/><Relationship Id="rId649" Type="http://schemas.openxmlformats.org/officeDocument/2006/relationships/hyperlink" Target="https://my.zakupki.prom.ua/remote/dispatcher/state_purchase_view/24092236" TargetMode="External"/><Relationship Id="rId814" Type="http://schemas.openxmlformats.org/officeDocument/2006/relationships/hyperlink" Target="https://my.zakupki.prom.ua/remote/dispatcher/state_contracting_view/13641803" TargetMode="External"/><Relationship Id="rId856" Type="http://schemas.openxmlformats.org/officeDocument/2006/relationships/hyperlink" Target="https://my.zakupki.prom.ua/remote/dispatcher/state_contracting_view/14623035" TargetMode="External"/><Relationship Id="rId190" Type="http://schemas.openxmlformats.org/officeDocument/2006/relationships/hyperlink" Target="https://my.zakupki.prom.ua/remote/dispatcher/state_contracting_view/7108391" TargetMode="External"/><Relationship Id="rId204" Type="http://schemas.openxmlformats.org/officeDocument/2006/relationships/hyperlink" Target="https://my.zakupki.prom.ua/remote/dispatcher/state_contracting_view/4877492" TargetMode="External"/><Relationship Id="rId246" Type="http://schemas.openxmlformats.org/officeDocument/2006/relationships/hyperlink" Target="https://my.zakupki.prom.ua/remote/dispatcher/state_contracting_view/5390216" TargetMode="External"/><Relationship Id="rId288" Type="http://schemas.openxmlformats.org/officeDocument/2006/relationships/hyperlink" Target="https://my.zakupki.prom.ua/remote/dispatcher/state_contracting_view/8293062" TargetMode="External"/><Relationship Id="rId411" Type="http://schemas.openxmlformats.org/officeDocument/2006/relationships/hyperlink" Target="https://my.zakupki.prom.ua/remote/dispatcher/state_purchase_view/25043891" TargetMode="External"/><Relationship Id="rId453" Type="http://schemas.openxmlformats.org/officeDocument/2006/relationships/hyperlink" Target="https://my.zakupki.prom.ua/remote/dispatcher/state_purchase_view/30510298" TargetMode="External"/><Relationship Id="rId509" Type="http://schemas.openxmlformats.org/officeDocument/2006/relationships/hyperlink" Target="https://my.zakupki.prom.ua/remote/dispatcher/state_purchase_view/25057211" TargetMode="External"/><Relationship Id="rId660" Type="http://schemas.openxmlformats.org/officeDocument/2006/relationships/hyperlink" Target="https://my.zakupki.prom.ua/remote/dispatcher/state_contracting_view/11558863" TargetMode="External"/><Relationship Id="rId898" Type="http://schemas.openxmlformats.org/officeDocument/2006/relationships/hyperlink" Target="https://my.zakupki.prom.ua/remote/dispatcher/state_contracting_view/13758216" TargetMode="External"/><Relationship Id="rId106" Type="http://schemas.openxmlformats.org/officeDocument/2006/relationships/hyperlink" Target="https://my.zakupki.prom.ua/remote/dispatcher/state_contracting_view/4328805" TargetMode="External"/><Relationship Id="rId313" Type="http://schemas.openxmlformats.org/officeDocument/2006/relationships/hyperlink" Target="https://my.zakupki.prom.ua/remote/dispatcher/state_purchase_view/32649574" TargetMode="External"/><Relationship Id="rId495" Type="http://schemas.openxmlformats.org/officeDocument/2006/relationships/hyperlink" Target="https://my.zakupki.prom.ua/remote/dispatcher/state_purchase_view/31893761" TargetMode="External"/><Relationship Id="rId716" Type="http://schemas.openxmlformats.org/officeDocument/2006/relationships/hyperlink" Target="https://my.zakupki.prom.ua/remote/dispatcher/state_contracting_view/14026282" TargetMode="External"/><Relationship Id="rId758" Type="http://schemas.openxmlformats.org/officeDocument/2006/relationships/hyperlink" Target="https://my.zakupki.prom.ua/remote/dispatcher/state_contracting_view/14387720" TargetMode="External"/><Relationship Id="rId923" Type="http://schemas.openxmlformats.org/officeDocument/2006/relationships/hyperlink" Target="https://my.zakupki.prom.ua/remote/dispatcher/state_purchase_view/36309167" TargetMode="External"/><Relationship Id="rId10" Type="http://schemas.openxmlformats.org/officeDocument/2006/relationships/hyperlink" Target="https://my.zakupki.prom.ua/remote/dispatcher/state_contracting_view/16476898" TargetMode="External"/><Relationship Id="rId52" Type="http://schemas.openxmlformats.org/officeDocument/2006/relationships/hyperlink" Target="https://my.zakupki.prom.ua/remote/dispatcher/state_contracting_view/625429" TargetMode="External"/><Relationship Id="rId94" Type="http://schemas.openxmlformats.org/officeDocument/2006/relationships/hyperlink" Target="https://my.zakupki.prom.ua/remote/dispatcher/state_contracting_view/2864806" TargetMode="External"/><Relationship Id="rId148" Type="http://schemas.openxmlformats.org/officeDocument/2006/relationships/hyperlink" Target="https://my.zakupki.prom.ua/remote/dispatcher/state_contracting_view/6037970" TargetMode="External"/><Relationship Id="rId355" Type="http://schemas.openxmlformats.org/officeDocument/2006/relationships/hyperlink" Target="https://my.zakupki.prom.ua/remote/dispatcher/state_purchase_view/23588276" TargetMode="External"/><Relationship Id="rId397" Type="http://schemas.openxmlformats.org/officeDocument/2006/relationships/hyperlink" Target="https://my.zakupki.prom.ua/remote/dispatcher/state_purchase_view/32451923" TargetMode="External"/><Relationship Id="rId520" Type="http://schemas.openxmlformats.org/officeDocument/2006/relationships/hyperlink" Target="https://my.zakupki.prom.ua/remote/dispatcher/state_contracting_view/8095506" TargetMode="External"/><Relationship Id="rId562" Type="http://schemas.openxmlformats.org/officeDocument/2006/relationships/hyperlink" Target="https://my.zakupki.prom.ua/remote/dispatcher/state_contracting_view/8164571" TargetMode="External"/><Relationship Id="rId618" Type="http://schemas.openxmlformats.org/officeDocument/2006/relationships/hyperlink" Target="https://my.zakupki.prom.ua/remote/dispatcher/state_contracting_view/8907354" TargetMode="External"/><Relationship Id="rId825" Type="http://schemas.openxmlformats.org/officeDocument/2006/relationships/hyperlink" Target="https://my.zakupki.prom.ua/remote/dispatcher/state_purchase_view/35696410" TargetMode="External"/><Relationship Id="rId215" Type="http://schemas.openxmlformats.org/officeDocument/2006/relationships/hyperlink" Target="https://my.zakupki.prom.ua/remote/dispatcher/state_purchase_view/22359865" TargetMode="External"/><Relationship Id="rId257" Type="http://schemas.openxmlformats.org/officeDocument/2006/relationships/hyperlink" Target="https://my.zakupki.prom.ua/remote/dispatcher/state_purchase_view/20324313" TargetMode="External"/><Relationship Id="rId422" Type="http://schemas.openxmlformats.org/officeDocument/2006/relationships/hyperlink" Target="https://my.zakupki.prom.ua/remote/dispatcher/state_contracting_view/7328420" TargetMode="External"/><Relationship Id="rId464" Type="http://schemas.openxmlformats.org/officeDocument/2006/relationships/hyperlink" Target="https://my.zakupki.prom.ua/remote/dispatcher/state_contracting_view/11058981" TargetMode="External"/><Relationship Id="rId867" Type="http://schemas.openxmlformats.org/officeDocument/2006/relationships/hyperlink" Target="https://my.zakupki.prom.ua/remote/dispatcher/state_purchase_view/34658330" TargetMode="External"/><Relationship Id="rId299" Type="http://schemas.openxmlformats.org/officeDocument/2006/relationships/hyperlink" Target="https://my.zakupki.prom.ua/remote/dispatcher/state_purchase_view/32317443" TargetMode="External"/><Relationship Id="rId727" Type="http://schemas.openxmlformats.org/officeDocument/2006/relationships/hyperlink" Target="https://my.zakupki.prom.ua/remote/dispatcher/state_purchase_view/38154116" TargetMode="External"/><Relationship Id="rId934" Type="http://schemas.openxmlformats.org/officeDocument/2006/relationships/hyperlink" Target="https://my.zakupki.prom.ua/remote/dispatcher/state_contracting_view/12724968" TargetMode="External"/><Relationship Id="rId63" Type="http://schemas.openxmlformats.org/officeDocument/2006/relationships/hyperlink" Target="https://my.zakupki.prom.ua/remote/dispatcher/state_purchase_view/6847704" TargetMode="External"/><Relationship Id="rId159" Type="http://schemas.openxmlformats.org/officeDocument/2006/relationships/hyperlink" Target="https://my.zakupki.prom.ua/remote/dispatcher/state_purchase_view/22341456" TargetMode="External"/><Relationship Id="rId366" Type="http://schemas.openxmlformats.org/officeDocument/2006/relationships/hyperlink" Target="https://my.zakupki.prom.ua/remote/dispatcher/state_contracting_view/10592240" TargetMode="External"/><Relationship Id="rId573" Type="http://schemas.openxmlformats.org/officeDocument/2006/relationships/hyperlink" Target="https://my.zakupki.prom.ua/remote/dispatcher/state_purchase_view/26365318" TargetMode="External"/><Relationship Id="rId780" Type="http://schemas.openxmlformats.org/officeDocument/2006/relationships/hyperlink" Target="https://my.zakupki.prom.ua/remote/dispatcher/state_contracting_view/14147038" TargetMode="External"/><Relationship Id="rId226" Type="http://schemas.openxmlformats.org/officeDocument/2006/relationships/hyperlink" Target="https://my.zakupki.prom.ua/remote/dispatcher/state_contracting_view/4299517" TargetMode="External"/><Relationship Id="rId433" Type="http://schemas.openxmlformats.org/officeDocument/2006/relationships/hyperlink" Target="https://my.zakupki.prom.ua/remote/dispatcher/state_purchase_view/23859277" TargetMode="External"/><Relationship Id="rId878" Type="http://schemas.openxmlformats.org/officeDocument/2006/relationships/hyperlink" Target="https://my.zakupki.prom.ua/remote/dispatcher/state_contracting_view/13806736" TargetMode="External"/><Relationship Id="rId640" Type="http://schemas.openxmlformats.org/officeDocument/2006/relationships/hyperlink" Target="https://my.zakupki.prom.ua/remote/dispatcher/state_contracting_view/8278755" TargetMode="External"/><Relationship Id="rId738" Type="http://schemas.openxmlformats.org/officeDocument/2006/relationships/hyperlink" Target="https://my.zakupki.prom.ua/remote/dispatcher/state_contracting_view/13679088" TargetMode="External"/><Relationship Id="rId74" Type="http://schemas.openxmlformats.org/officeDocument/2006/relationships/hyperlink" Target="https://my.zakupki.prom.ua/remote/dispatcher/state_contracting_view/2672162" TargetMode="External"/><Relationship Id="rId377" Type="http://schemas.openxmlformats.org/officeDocument/2006/relationships/hyperlink" Target="https://my.zakupki.prom.ua/remote/dispatcher/state_purchase_view/32121736" TargetMode="External"/><Relationship Id="rId500" Type="http://schemas.openxmlformats.org/officeDocument/2006/relationships/hyperlink" Target="https://my.zakupki.prom.ua/remote/dispatcher/state_contracting_view/9119403" TargetMode="External"/><Relationship Id="rId584" Type="http://schemas.openxmlformats.org/officeDocument/2006/relationships/hyperlink" Target="https://my.zakupki.prom.ua/remote/dispatcher/state_contracting_view/8179581" TargetMode="External"/><Relationship Id="rId805" Type="http://schemas.openxmlformats.org/officeDocument/2006/relationships/hyperlink" Target="https://my.zakupki.prom.ua/remote/dispatcher/state_purchase_view/37381107" TargetMode="External"/><Relationship Id="rId5" Type="http://schemas.openxmlformats.org/officeDocument/2006/relationships/hyperlink" Target="https://my.zakupki.prom.ua/remote/dispatcher/state_purchase_view/41344832" TargetMode="External"/><Relationship Id="rId237" Type="http://schemas.openxmlformats.org/officeDocument/2006/relationships/hyperlink" Target="https://my.zakupki.prom.ua/remote/dispatcher/state_purchase_view/18109585" TargetMode="External"/><Relationship Id="rId791" Type="http://schemas.openxmlformats.org/officeDocument/2006/relationships/hyperlink" Target="https://my.zakupki.prom.ua/remote/dispatcher/state_purchase_view/35783627" TargetMode="External"/><Relationship Id="rId889" Type="http://schemas.openxmlformats.org/officeDocument/2006/relationships/hyperlink" Target="https://my.zakupki.prom.ua/remote/dispatcher/state_purchase_view/36246676" TargetMode="External"/><Relationship Id="rId444" Type="http://schemas.openxmlformats.org/officeDocument/2006/relationships/hyperlink" Target="https://my.zakupki.prom.ua/remote/dispatcher/state_contracting_view/8207863" TargetMode="External"/><Relationship Id="rId651" Type="http://schemas.openxmlformats.org/officeDocument/2006/relationships/hyperlink" Target="https://my.zakupki.prom.ua/remote/dispatcher/state_purchase_view/23863349" TargetMode="External"/><Relationship Id="rId749" Type="http://schemas.openxmlformats.org/officeDocument/2006/relationships/hyperlink" Target="https://my.zakupki.prom.ua/remote/dispatcher/state_purchase_view/34106626" TargetMode="External"/><Relationship Id="rId290" Type="http://schemas.openxmlformats.org/officeDocument/2006/relationships/hyperlink" Target="https://my.zakupki.prom.ua/remote/dispatcher/state_contracting_view/7701167" TargetMode="External"/><Relationship Id="rId304" Type="http://schemas.openxmlformats.org/officeDocument/2006/relationships/hyperlink" Target="https://my.zakupki.prom.ua/remote/dispatcher/state_contracting_view/11893334" TargetMode="External"/><Relationship Id="rId388" Type="http://schemas.openxmlformats.org/officeDocument/2006/relationships/hyperlink" Target="https://my.zakupki.prom.ua/remote/dispatcher/state_contracting_view/11721964" TargetMode="External"/><Relationship Id="rId511" Type="http://schemas.openxmlformats.org/officeDocument/2006/relationships/hyperlink" Target="https://my.zakupki.prom.ua/remote/dispatcher/state_purchase_view/24963598" TargetMode="External"/><Relationship Id="rId609" Type="http://schemas.openxmlformats.org/officeDocument/2006/relationships/hyperlink" Target="https://my.zakupki.prom.ua/remote/dispatcher/state_purchase_view/31161468" TargetMode="External"/><Relationship Id="rId85" Type="http://schemas.openxmlformats.org/officeDocument/2006/relationships/hyperlink" Target="https://my.zakupki.prom.ua/remote/dispatcher/state_purchase_view/11170288" TargetMode="External"/><Relationship Id="rId150" Type="http://schemas.openxmlformats.org/officeDocument/2006/relationships/hyperlink" Target="https://my.zakupki.prom.ua/remote/dispatcher/state_contracting_view/6038711" TargetMode="External"/><Relationship Id="rId595" Type="http://schemas.openxmlformats.org/officeDocument/2006/relationships/hyperlink" Target="https://my.zakupki.prom.ua/remote/dispatcher/state_purchase_view/23055860" TargetMode="External"/><Relationship Id="rId816" Type="http://schemas.openxmlformats.org/officeDocument/2006/relationships/hyperlink" Target="https://my.zakupki.prom.ua/remote/dispatcher/state_contracting_view/13757827" TargetMode="External"/><Relationship Id="rId248" Type="http://schemas.openxmlformats.org/officeDocument/2006/relationships/hyperlink" Target="https://my.zakupki.prom.ua/remote/dispatcher/state_contracting_view/5115604" TargetMode="External"/><Relationship Id="rId455" Type="http://schemas.openxmlformats.org/officeDocument/2006/relationships/hyperlink" Target="https://my.zakupki.prom.ua/remote/dispatcher/state_purchase_view/27243215" TargetMode="External"/><Relationship Id="rId662" Type="http://schemas.openxmlformats.org/officeDocument/2006/relationships/hyperlink" Target="https://my.zakupki.prom.ua/remote/dispatcher/state_contracting_view/8122447" TargetMode="External"/><Relationship Id="rId12" Type="http://schemas.openxmlformats.org/officeDocument/2006/relationships/hyperlink" Target="https://my.zakupki.prom.ua/remote/dispatcher/state_contracting_view/16226974" TargetMode="External"/><Relationship Id="rId108" Type="http://schemas.openxmlformats.org/officeDocument/2006/relationships/hyperlink" Target="https://my.zakupki.prom.ua/remote/dispatcher/state_contracting_view/5089441" TargetMode="External"/><Relationship Id="rId315" Type="http://schemas.openxmlformats.org/officeDocument/2006/relationships/hyperlink" Target="https://my.zakupki.prom.ua/remote/dispatcher/state_purchase_view/25463147" TargetMode="External"/><Relationship Id="rId522" Type="http://schemas.openxmlformats.org/officeDocument/2006/relationships/hyperlink" Target="https://my.zakupki.prom.ua/remote/dispatcher/state_contracting_view/8557804" TargetMode="External"/><Relationship Id="rId96" Type="http://schemas.openxmlformats.org/officeDocument/2006/relationships/hyperlink" Target="https://my.zakupki.prom.ua/remote/dispatcher/state_contracting_view/3731980" TargetMode="External"/><Relationship Id="rId161" Type="http://schemas.openxmlformats.org/officeDocument/2006/relationships/hyperlink" Target="https://my.zakupki.prom.ua/remote/dispatcher/state_purchase_view/22286515" TargetMode="External"/><Relationship Id="rId399" Type="http://schemas.openxmlformats.org/officeDocument/2006/relationships/hyperlink" Target="https://my.zakupki.prom.ua/remote/dispatcher/state_purchase_view/32581830" TargetMode="External"/><Relationship Id="rId827" Type="http://schemas.openxmlformats.org/officeDocument/2006/relationships/hyperlink" Target="https://my.zakupki.prom.ua/remote/dispatcher/state_purchase_view/35335400" TargetMode="External"/><Relationship Id="rId259" Type="http://schemas.openxmlformats.org/officeDocument/2006/relationships/hyperlink" Target="https://my.zakupki.prom.ua/remote/dispatcher/state_purchase_view/19398746" TargetMode="External"/><Relationship Id="rId466" Type="http://schemas.openxmlformats.org/officeDocument/2006/relationships/hyperlink" Target="https://my.zakupki.prom.ua/remote/dispatcher/state_contracting_view/10474732" TargetMode="External"/><Relationship Id="rId673" Type="http://schemas.openxmlformats.org/officeDocument/2006/relationships/hyperlink" Target="https://my.zakupki.prom.ua/remote/dispatcher/state_purchase_view/26518979" TargetMode="External"/><Relationship Id="rId880" Type="http://schemas.openxmlformats.org/officeDocument/2006/relationships/hyperlink" Target="https://my.zakupki.prom.ua/remote/dispatcher/state_contracting_view/13433174" TargetMode="External"/><Relationship Id="rId23" Type="http://schemas.openxmlformats.org/officeDocument/2006/relationships/hyperlink" Target="https://my.zakupki.prom.ua/remote/dispatcher/state_purchase_view/41712315" TargetMode="External"/><Relationship Id="rId119" Type="http://schemas.openxmlformats.org/officeDocument/2006/relationships/hyperlink" Target="https://my.zakupki.prom.ua/remote/dispatcher/state_purchase_view/17906079" TargetMode="External"/><Relationship Id="rId326" Type="http://schemas.openxmlformats.org/officeDocument/2006/relationships/hyperlink" Target="https://my.zakupki.prom.ua/remote/dispatcher/state_contracting_view/8202033" TargetMode="External"/><Relationship Id="rId533" Type="http://schemas.openxmlformats.org/officeDocument/2006/relationships/hyperlink" Target="https://my.zakupki.prom.ua/remote/dispatcher/state_purchase_view/23865439" TargetMode="External"/><Relationship Id="rId740" Type="http://schemas.openxmlformats.org/officeDocument/2006/relationships/hyperlink" Target="https://my.zakupki.prom.ua/remote/dispatcher/state_contracting_view/13643630" TargetMode="External"/><Relationship Id="rId838" Type="http://schemas.openxmlformats.org/officeDocument/2006/relationships/hyperlink" Target="https://my.zakupki.prom.ua/remote/dispatcher/state_contracting_view/12813775" TargetMode="External"/><Relationship Id="rId172" Type="http://schemas.openxmlformats.org/officeDocument/2006/relationships/hyperlink" Target="https://my.zakupki.prom.ua/remote/dispatcher/state_contracting_view/3869710" TargetMode="External"/><Relationship Id="rId477" Type="http://schemas.openxmlformats.org/officeDocument/2006/relationships/hyperlink" Target="https://my.zakupki.prom.ua/remote/dispatcher/state_purchase_view/33260206" TargetMode="External"/><Relationship Id="rId600" Type="http://schemas.openxmlformats.org/officeDocument/2006/relationships/hyperlink" Target="https://my.zakupki.prom.ua/remote/dispatcher/state_contracting_view/11277650" TargetMode="External"/><Relationship Id="rId684" Type="http://schemas.openxmlformats.org/officeDocument/2006/relationships/hyperlink" Target="https://my.zakupki.prom.ua/remote/dispatcher/state_contracting_view/14759681" TargetMode="External"/><Relationship Id="rId337" Type="http://schemas.openxmlformats.org/officeDocument/2006/relationships/hyperlink" Target="https://my.zakupki.prom.ua/remote/dispatcher/state_purchase_view/32319384" TargetMode="External"/><Relationship Id="rId891" Type="http://schemas.openxmlformats.org/officeDocument/2006/relationships/hyperlink" Target="https://my.zakupki.prom.ua/remote/dispatcher/state_purchase_view/39191317" TargetMode="External"/><Relationship Id="rId905" Type="http://schemas.openxmlformats.org/officeDocument/2006/relationships/hyperlink" Target="https://my.zakupki.prom.ua/remote/dispatcher/state_purchase_view/35783734" TargetMode="External"/><Relationship Id="rId34" Type="http://schemas.openxmlformats.org/officeDocument/2006/relationships/hyperlink" Target="https://my.zakupki.prom.ua/remote/dispatcher/state_purchase_lot_view/925444" TargetMode="External"/><Relationship Id="rId544" Type="http://schemas.openxmlformats.org/officeDocument/2006/relationships/hyperlink" Target="https://my.zakupki.prom.ua/remote/dispatcher/state_contracting_view/11893079" TargetMode="External"/><Relationship Id="rId751" Type="http://schemas.openxmlformats.org/officeDocument/2006/relationships/hyperlink" Target="https://my.zakupki.prom.ua/remote/dispatcher/state_purchase_view/34915305" TargetMode="External"/><Relationship Id="rId849" Type="http://schemas.openxmlformats.org/officeDocument/2006/relationships/hyperlink" Target="https://my.zakupki.prom.ua/remote/dispatcher/state_purchase_view/37653512" TargetMode="External"/><Relationship Id="rId183" Type="http://schemas.openxmlformats.org/officeDocument/2006/relationships/hyperlink" Target="https://my.zakupki.prom.ua/remote/dispatcher/state_purchase_view/21539910" TargetMode="External"/><Relationship Id="rId390" Type="http://schemas.openxmlformats.org/officeDocument/2006/relationships/hyperlink" Target="https://my.zakupki.prom.ua/remote/dispatcher/state_contracting_view/11721744" TargetMode="External"/><Relationship Id="rId404" Type="http://schemas.openxmlformats.org/officeDocument/2006/relationships/hyperlink" Target="https://my.zakupki.prom.ua/remote/dispatcher/state_contracting_view/11564676" TargetMode="External"/><Relationship Id="rId611" Type="http://schemas.openxmlformats.org/officeDocument/2006/relationships/hyperlink" Target="https://my.zakupki.prom.ua/remote/dispatcher/state_purchase_view/33258570" TargetMode="External"/><Relationship Id="rId250" Type="http://schemas.openxmlformats.org/officeDocument/2006/relationships/hyperlink" Target="https://my.zakupki.prom.ua/remote/dispatcher/state_contracting_view/6935418" TargetMode="External"/><Relationship Id="rId488" Type="http://schemas.openxmlformats.org/officeDocument/2006/relationships/hyperlink" Target="https://my.zakupki.prom.ua/remote/dispatcher/state_contracting_view/11775700" TargetMode="External"/><Relationship Id="rId695" Type="http://schemas.openxmlformats.org/officeDocument/2006/relationships/hyperlink" Target="https://my.zakupki.prom.ua/remote/dispatcher/state_purchase_view/38122269" TargetMode="External"/><Relationship Id="rId709" Type="http://schemas.openxmlformats.org/officeDocument/2006/relationships/hyperlink" Target="https://my.zakupki.prom.ua/remote/dispatcher/state_purchase_view/35734333" TargetMode="External"/><Relationship Id="rId916" Type="http://schemas.openxmlformats.org/officeDocument/2006/relationships/hyperlink" Target="https://my.zakupki.prom.ua/remote/dispatcher/state_contracting_view/14760454" TargetMode="External"/><Relationship Id="rId45" Type="http://schemas.openxmlformats.org/officeDocument/2006/relationships/hyperlink" Target="https://my.zakupki.prom.ua/remote/dispatcher/state_contracting_view/16418019" TargetMode="External"/><Relationship Id="rId110" Type="http://schemas.openxmlformats.org/officeDocument/2006/relationships/hyperlink" Target="https://my.zakupki.prom.ua/remote/dispatcher/state_contracting_view/4328193" TargetMode="External"/><Relationship Id="rId348" Type="http://schemas.openxmlformats.org/officeDocument/2006/relationships/hyperlink" Target="https://my.zakupki.prom.ua/remote/dispatcher/state_contracting_view/8863540" TargetMode="External"/><Relationship Id="rId555" Type="http://schemas.openxmlformats.org/officeDocument/2006/relationships/hyperlink" Target="https://my.zakupki.prom.ua/remote/dispatcher/state_purchase_view/33131741" TargetMode="External"/><Relationship Id="rId762" Type="http://schemas.openxmlformats.org/officeDocument/2006/relationships/hyperlink" Target="https://my.zakupki.prom.ua/remote/dispatcher/state_contracting_view/14037924" TargetMode="External"/><Relationship Id="rId194" Type="http://schemas.openxmlformats.org/officeDocument/2006/relationships/hyperlink" Target="https://my.zakupki.prom.ua/remote/dispatcher/state_contracting_view/6562761" TargetMode="External"/><Relationship Id="rId208" Type="http://schemas.openxmlformats.org/officeDocument/2006/relationships/hyperlink" Target="https://my.zakupki.prom.ua/remote/dispatcher/state_contracting_view/4571862" TargetMode="External"/><Relationship Id="rId415" Type="http://schemas.openxmlformats.org/officeDocument/2006/relationships/hyperlink" Target="https://my.zakupki.prom.ua/remote/dispatcher/state_purchase_view/25671663" TargetMode="External"/><Relationship Id="rId622" Type="http://schemas.openxmlformats.org/officeDocument/2006/relationships/hyperlink" Target="https://my.zakupki.prom.ua/remote/dispatcher/state_contracting_view/9412599" TargetMode="External"/><Relationship Id="rId261" Type="http://schemas.openxmlformats.org/officeDocument/2006/relationships/hyperlink" Target="https://my.zakupki.prom.ua/remote/dispatcher/state_purchase_view/22688561" TargetMode="External"/><Relationship Id="rId499" Type="http://schemas.openxmlformats.org/officeDocument/2006/relationships/hyperlink" Target="https://my.zakupki.prom.ua/remote/dispatcher/state_purchase_view/30193663" TargetMode="External"/><Relationship Id="rId927" Type="http://schemas.openxmlformats.org/officeDocument/2006/relationships/hyperlink" Target="https://my.zakupki.prom.ua/remote/dispatcher/state_purchase_view/36308424" TargetMode="External"/><Relationship Id="rId56" Type="http://schemas.openxmlformats.org/officeDocument/2006/relationships/hyperlink" Target="https://my.zakupki.prom.ua/remote/dispatcher/state_contracting_view/1530649" TargetMode="External"/><Relationship Id="rId359" Type="http://schemas.openxmlformats.org/officeDocument/2006/relationships/hyperlink" Target="https://my.zakupki.prom.ua/remote/dispatcher/state_purchase_view/24582670" TargetMode="External"/><Relationship Id="rId566" Type="http://schemas.openxmlformats.org/officeDocument/2006/relationships/hyperlink" Target="https://my.zakupki.prom.ua/remote/dispatcher/state_contracting_view/8121777" TargetMode="External"/><Relationship Id="rId773" Type="http://schemas.openxmlformats.org/officeDocument/2006/relationships/hyperlink" Target="https://my.zakupki.prom.ua/remote/dispatcher/state_purchase_view/38418769" TargetMode="External"/><Relationship Id="rId121" Type="http://schemas.openxmlformats.org/officeDocument/2006/relationships/hyperlink" Target="https://my.zakupki.prom.ua/remote/dispatcher/state_purchase_view/18308776" TargetMode="External"/><Relationship Id="rId219" Type="http://schemas.openxmlformats.org/officeDocument/2006/relationships/hyperlink" Target="https://my.zakupki.prom.ua/remote/dispatcher/state_purchase_view/22021308" TargetMode="External"/><Relationship Id="rId426" Type="http://schemas.openxmlformats.org/officeDocument/2006/relationships/hyperlink" Target="https://my.zakupki.prom.ua/remote/dispatcher/state_contracting_view/11719266" TargetMode="External"/><Relationship Id="rId633" Type="http://schemas.openxmlformats.org/officeDocument/2006/relationships/hyperlink" Target="https://my.zakupki.prom.ua/remote/dispatcher/state_purchase_view/25069076" TargetMode="External"/><Relationship Id="rId840" Type="http://schemas.openxmlformats.org/officeDocument/2006/relationships/hyperlink" Target="https://my.zakupki.prom.ua/remote/dispatcher/state_contracting_view/14305750" TargetMode="External"/><Relationship Id="rId938" Type="http://schemas.openxmlformats.org/officeDocument/2006/relationships/hyperlink" Target="https://my.zakupki.prom.ua/remote/dispatcher/state_contracting_view/12834079" TargetMode="External"/><Relationship Id="rId67" Type="http://schemas.openxmlformats.org/officeDocument/2006/relationships/hyperlink" Target="https://my.zakupki.prom.ua/remote/dispatcher/state_purchase_view/8909742" TargetMode="External"/><Relationship Id="rId272" Type="http://schemas.openxmlformats.org/officeDocument/2006/relationships/hyperlink" Target="https://my.zakupki.prom.ua/remote/dispatcher/state_contracting_view/7249075" TargetMode="External"/><Relationship Id="rId577" Type="http://schemas.openxmlformats.org/officeDocument/2006/relationships/hyperlink" Target="https://my.zakupki.prom.ua/remote/dispatcher/state_purchase_view/25207114" TargetMode="External"/><Relationship Id="rId700" Type="http://schemas.openxmlformats.org/officeDocument/2006/relationships/hyperlink" Target="https://my.zakupki.prom.ua/remote/dispatcher/state_contracting_view/14382347" TargetMode="External"/><Relationship Id="rId132" Type="http://schemas.openxmlformats.org/officeDocument/2006/relationships/hyperlink" Target="https://my.zakupki.prom.ua/remote/dispatcher/state_contracting_view/5841515" TargetMode="External"/><Relationship Id="rId784" Type="http://schemas.openxmlformats.org/officeDocument/2006/relationships/hyperlink" Target="https://my.zakupki.prom.ua/remote/dispatcher/state_contracting_view/12548513" TargetMode="External"/><Relationship Id="rId437" Type="http://schemas.openxmlformats.org/officeDocument/2006/relationships/hyperlink" Target="https://my.zakupki.prom.ua/remote/dispatcher/state_purchase_view/24912883" TargetMode="External"/><Relationship Id="rId644" Type="http://schemas.openxmlformats.org/officeDocument/2006/relationships/hyperlink" Target="https://my.zakupki.prom.ua/remote/dispatcher/state_contracting_view/8051119" TargetMode="External"/><Relationship Id="rId851" Type="http://schemas.openxmlformats.org/officeDocument/2006/relationships/hyperlink" Target="https://my.zakupki.prom.ua/remote/dispatcher/state_purchase_view/37675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P482"/>
  <sheetViews>
    <sheetView tabSelected="1" view="pageBreakPreview" zoomScale="90" zoomScaleNormal="100" zoomScaleSheetLayoutView="90" workbookViewId="0">
      <pane ySplit="6" topLeftCell="A19" activePane="bottomLeft" state="frozen"/>
      <selection pane="bottomLeft" activeCell="P25" sqref="P25"/>
    </sheetView>
  </sheetViews>
  <sheetFormatPr defaultColWidth="11.42578125" defaultRowHeight="15"/>
  <cols>
    <col min="1" max="1" width="5"/>
    <col min="2" max="5" width="0" hidden="1" customWidth="1"/>
    <col min="6" max="7" width="35"/>
    <col min="8" max="8" width="40.85546875" style="10" customWidth="1"/>
    <col min="9" max="9" width="30" style="10" customWidth="1"/>
    <col min="10" max="10" width="30" style="10"/>
    <col min="11" max="13" width="15"/>
    <col min="14" max="16" width="10"/>
  </cols>
  <sheetData>
    <row r="2" spans="1:16">
      <c r="F2" s="25" t="s">
        <v>1679</v>
      </c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>
      <c r="A3" s="1"/>
      <c r="F3" s="25" t="s">
        <v>1680</v>
      </c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>
      <c r="A4" s="2"/>
      <c r="F4" s="25" t="s">
        <v>1681</v>
      </c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.75" thickBot="1"/>
    <row r="6" spans="1:16" ht="78" thickBot="1">
      <c r="A6" s="11" t="s">
        <v>1678</v>
      </c>
      <c r="B6" s="3" t="s">
        <v>1078</v>
      </c>
      <c r="C6" s="3" t="s">
        <v>1079</v>
      </c>
      <c r="D6" s="3" t="s">
        <v>875</v>
      </c>
      <c r="E6" s="3" t="s">
        <v>1077</v>
      </c>
      <c r="F6" s="11" t="s">
        <v>1652</v>
      </c>
      <c r="G6" s="11" t="s">
        <v>1365</v>
      </c>
      <c r="H6" s="11" t="s">
        <v>1204</v>
      </c>
      <c r="I6" s="11" t="s">
        <v>1648</v>
      </c>
      <c r="J6" s="11" t="s">
        <v>1305</v>
      </c>
      <c r="K6" s="11" t="s">
        <v>1074</v>
      </c>
      <c r="L6" s="11" t="s">
        <v>1280</v>
      </c>
      <c r="M6" s="11" t="s">
        <v>1615</v>
      </c>
      <c r="N6" s="11" t="s">
        <v>1153</v>
      </c>
      <c r="O6" s="11" t="s">
        <v>1152</v>
      </c>
      <c r="P6" s="11" t="s">
        <v>1611</v>
      </c>
    </row>
    <row r="7" spans="1:16" s="18" customFormat="1" ht="39">
      <c r="A7" s="12">
        <v>1</v>
      </c>
      <c r="B7" s="17"/>
      <c r="C7" s="17"/>
      <c r="D7" s="17"/>
      <c r="E7" s="17"/>
      <c r="F7" s="19" t="s">
        <v>1682</v>
      </c>
      <c r="G7" s="19" t="s">
        <v>1682</v>
      </c>
      <c r="H7" s="19" t="s">
        <v>660</v>
      </c>
      <c r="I7" s="13" t="s">
        <v>1175</v>
      </c>
      <c r="J7" s="19" t="s">
        <v>1683</v>
      </c>
      <c r="K7" s="20">
        <v>31948866</v>
      </c>
      <c r="L7" s="19" t="s">
        <v>1684</v>
      </c>
      <c r="M7" s="21">
        <v>468</v>
      </c>
      <c r="N7" s="22">
        <v>45566</v>
      </c>
      <c r="O7" s="22">
        <v>45657</v>
      </c>
      <c r="P7" s="20" t="s">
        <v>1674</v>
      </c>
    </row>
    <row r="8" spans="1:16" s="18" customFormat="1" ht="26.25">
      <c r="A8" s="12">
        <v>2</v>
      </c>
      <c r="B8" s="17"/>
      <c r="C8" s="17"/>
      <c r="D8" s="17"/>
      <c r="E8" s="17"/>
      <c r="F8" s="13" t="s">
        <v>1685</v>
      </c>
      <c r="G8" s="13" t="s">
        <v>1685</v>
      </c>
      <c r="H8" s="13" t="s">
        <v>1686</v>
      </c>
      <c r="I8" s="13" t="s">
        <v>1175</v>
      </c>
      <c r="J8" s="14" t="s">
        <v>1687</v>
      </c>
      <c r="K8" s="14">
        <v>3180319112</v>
      </c>
      <c r="L8" s="13" t="s">
        <v>1688</v>
      </c>
      <c r="M8" s="15">
        <v>3600</v>
      </c>
      <c r="N8" s="22">
        <v>45568</v>
      </c>
      <c r="O8" s="22">
        <v>45657</v>
      </c>
      <c r="P8" s="14" t="s">
        <v>1674</v>
      </c>
    </row>
    <row r="9" spans="1:16" s="18" customFormat="1" ht="26.25">
      <c r="A9" s="12">
        <v>3</v>
      </c>
      <c r="B9" s="17"/>
      <c r="C9" s="17"/>
      <c r="D9" s="17"/>
      <c r="E9" s="17"/>
      <c r="F9" s="13" t="s">
        <v>1689</v>
      </c>
      <c r="G9" s="13" t="s">
        <v>1689</v>
      </c>
      <c r="H9" s="13" t="s">
        <v>438</v>
      </c>
      <c r="I9" s="13" t="s">
        <v>1175</v>
      </c>
      <c r="J9" s="13" t="s">
        <v>1687</v>
      </c>
      <c r="K9" s="14">
        <v>3180319112</v>
      </c>
      <c r="L9" s="13" t="s">
        <v>1690</v>
      </c>
      <c r="M9" s="15">
        <v>1426</v>
      </c>
      <c r="N9" s="22">
        <v>45568</v>
      </c>
      <c r="O9" s="22">
        <v>45657</v>
      </c>
      <c r="P9" s="14" t="s">
        <v>1674</v>
      </c>
    </row>
    <row r="10" spans="1:16" s="18" customFormat="1" ht="26.25">
      <c r="A10" s="12">
        <v>4</v>
      </c>
      <c r="B10" s="17"/>
      <c r="C10" s="17"/>
      <c r="D10" s="17"/>
      <c r="E10" s="17"/>
      <c r="F10" s="13" t="s">
        <v>1691</v>
      </c>
      <c r="G10" s="13" t="s">
        <v>1691</v>
      </c>
      <c r="H10" s="13" t="s">
        <v>438</v>
      </c>
      <c r="I10" s="13" t="s">
        <v>1175</v>
      </c>
      <c r="J10" s="13" t="s">
        <v>1687</v>
      </c>
      <c r="K10" s="14">
        <v>3180319112</v>
      </c>
      <c r="L10" s="13" t="s">
        <v>1692</v>
      </c>
      <c r="M10" s="15">
        <v>2044</v>
      </c>
      <c r="N10" s="22">
        <v>45568</v>
      </c>
      <c r="O10" s="22">
        <v>45657</v>
      </c>
      <c r="P10" s="14" t="s">
        <v>1674</v>
      </c>
    </row>
    <row r="11" spans="1:16" s="18" customFormat="1" ht="26.25">
      <c r="A11" s="12">
        <v>5</v>
      </c>
      <c r="B11" s="17"/>
      <c r="C11" s="17"/>
      <c r="D11" s="17"/>
      <c r="E11" s="17"/>
      <c r="F11" s="13" t="s">
        <v>1693</v>
      </c>
      <c r="G11" s="13" t="s">
        <v>1693</v>
      </c>
      <c r="H11" s="13" t="s">
        <v>564</v>
      </c>
      <c r="I11" s="13" t="s">
        <v>1175</v>
      </c>
      <c r="J11" s="13" t="s">
        <v>1694</v>
      </c>
      <c r="K11" s="14">
        <v>2243525335</v>
      </c>
      <c r="L11" s="13" t="s">
        <v>1695</v>
      </c>
      <c r="M11" s="15">
        <v>4080</v>
      </c>
      <c r="N11" s="22">
        <v>45568</v>
      </c>
      <c r="O11" s="22">
        <v>45657</v>
      </c>
      <c r="P11" s="14" t="s">
        <v>1674</v>
      </c>
    </row>
    <row r="12" spans="1:16" s="18" customFormat="1" ht="26.25">
      <c r="A12" s="12">
        <v>6</v>
      </c>
      <c r="B12" s="17"/>
      <c r="C12" s="17"/>
      <c r="D12" s="17"/>
      <c r="E12" s="17"/>
      <c r="F12" s="13" t="s">
        <v>1696</v>
      </c>
      <c r="G12" s="13" t="s">
        <v>1696</v>
      </c>
      <c r="H12" s="13" t="s">
        <v>1697</v>
      </c>
      <c r="I12" s="13" t="s">
        <v>1175</v>
      </c>
      <c r="J12" s="13" t="s">
        <v>1698</v>
      </c>
      <c r="K12" s="14">
        <v>38704004</v>
      </c>
      <c r="L12" s="14" t="s">
        <v>1699</v>
      </c>
      <c r="M12" s="15">
        <v>1598</v>
      </c>
      <c r="N12" s="16">
        <v>45572</v>
      </c>
      <c r="O12" s="16">
        <v>45657</v>
      </c>
      <c r="P12" s="14" t="s">
        <v>1674</v>
      </c>
    </row>
    <row r="13" spans="1:16" ht="26.25">
      <c r="A13" s="12">
        <f>A12+1</f>
        <v>7</v>
      </c>
      <c r="B13" s="2" t="str">
        <f>HYPERLINK("https://my.zakupki.prom.ua/remote/dispatcher/state_purchase_view/40344115", "UA-2023-01-25-016068-a")</f>
        <v>UA-2023-01-25-016068-a</v>
      </c>
      <c r="C13" s="2" t="s">
        <v>1276</v>
      </c>
      <c r="D13" s="2" t="str">
        <f>HYPERLINK("https://my.zakupki.prom.ua/remote/dispatcher/state_contracting_view/15387409", "UA-2023-01-25-016068-a-c1")</f>
        <v>UA-2023-01-25-016068-a-c1</v>
      </c>
      <c r="E13" s="1" t="s">
        <v>961</v>
      </c>
      <c r="F13" s="13" t="s">
        <v>1700</v>
      </c>
      <c r="G13" s="13" t="s">
        <v>1700</v>
      </c>
      <c r="H13" s="13" t="s">
        <v>1701</v>
      </c>
      <c r="I13" s="13" t="s">
        <v>1175</v>
      </c>
      <c r="J13" s="13" t="s">
        <v>1702</v>
      </c>
      <c r="K13" s="14">
        <v>2586318503</v>
      </c>
      <c r="L13" s="14" t="s">
        <v>1703</v>
      </c>
      <c r="M13" s="15">
        <v>5750</v>
      </c>
      <c r="N13" s="16">
        <v>45573</v>
      </c>
      <c r="O13" s="16">
        <v>45657</v>
      </c>
      <c r="P13" s="14" t="s">
        <v>1674</v>
      </c>
    </row>
    <row r="14" spans="1:16" ht="26.25">
      <c r="A14" s="12">
        <f t="shared" ref="A14:A35" si="0">A13+1</f>
        <v>8</v>
      </c>
      <c r="B14" s="2" t="str">
        <f>HYPERLINK("https://my.zakupki.prom.ua/remote/dispatcher/state_purchase_view/40843259", "UA-2023-02-14-008766-a")</f>
        <v>UA-2023-02-14-008766-a</v>
      </c>
      <c r="C14" s="2" t="s">
        <v>1276</v>
      </c>
      <c r="D14" s="2" t="str">
        <f>HYPERLINK("https://my.zakupki.prom.ua/remote/dispatcher/state_contracting_view/15622865", "UA-2023-02-14-008766-a-b1")</f>
        <v>UA-2023-02-14-008766-a-b1</v>
      </c>
      <c r="E14" s="1" t="s">
        <v>652</v>
      </c>
      <c r="F14" s="13" t="s">
        <v>1704</v>
      </c>
      <c r="G14" s="13" t="s">
        <v>1704</v>
      </c>
      <c r="H14" s="13" t="s">
        <v>793</v>
      </c>
      <c r="I14" s="13" t="s">
        <v>1175</v>
      </c>
      <c r="J14" s="13" t="s">
        <v>1705</v>
      </c>
      <c r="K14" s="14">
        <v>26233167</v>
      </c>
      <c r="L14" s="14" t="s">
        <v>1706</v>
      </c>
      <c r="M14" s="23">
        <v>516</v>
      </c>
      <c r="N14" s="16">
        <v>45574</v>
      </c>
      <c r="O14" s="16">
        <v>45657</v>
      </c>
      <c r="P14" s="14" t="s">
        <v>1674</v>
      </c>
    </row>
    <row r="15" spans="1:16" ht="26.25">
      <c r="A15" s="12">
        <f t="shared" si="0"/>
        <v>9</v>
      </c>
      <c r="B15" s="2" t="str">
        <f>HYPERLINK("https://my.zakupki.prom.ua/remote/dispatcher/state_purchase_view/41344832", "UA-2023-03-10-007395-a")</f>
        <v>UA-2023-03-10-007395-a</v>
      </c>
      <c r="C15" s="2" t="s">
        <v>1276</v>
      </c>
      <c r="D15" s="2" t="str">
        <f>HYPERLINK("https://my.zakupki.prom.ua/remote/dispatcher/state_contracting_view/15853991", "UA-2023-03-10-007395-a-a1")</f>
        <v>UA-2023-03-10-007395-a-a1</v>
      </c>
      <c r="E15" s="1" t="s">
        <v>574</v>
      </c>
      <c r="F15" s="13" t="s">
        <v>1707</v>
      </c>
      <c r="G15" s="13" t="s">
        <v>1707</v>
      </c>
      <c r="H15" s="13" t="s">
        <v>793</v>
      </c>
      <c r="I15" s="13" t="s">
        <v>1175</v>
      </c>
      <c r="J15" s="13" t="s">
        <v>1708</v>
      </c>
      <c r="K15" s="14">
        <v>42285415</v>
      </c>
      <c r="L15" s="14" t="s">
        <v>1709</v>
      </c>
      <c r="M15" s="23">
        <v>720</v>
      </c>
      <c r="N15" s="16">
        <v>45581</v>
      </c>
      <c r="O15" s="16">
        <v>45657</v>
      </c>
      <c r="P15" s="14" t="s">
        <v>1674</v>
      </c>
    </row>
    <row r="16" spans="1:16" ht="26.25">
      <c r="A16" s="12">
        <f t="shared" si="0"/>
        <v>10</v>
      </c>
      <c r="B16" s="2" t="str">
        <f>HYPERLINK("https://my.zakupki.prom.ua/remote/dispatcher/state_purchase_view/41469638", "UA-2023-03-17-000067-a")</f>
        <v>UA-2023-03-17-000067-a</v>
      </c>
      <c r="C16" s="2" t="s">
        <v>1276</v>
      </c>
      <c r="D16" s="2" t="str">
        <f>HYPERLINK("https://my.zakupki.prom.ua/remote/dispatcher/state_contracting_view/15907042", "UA-2023-03-17-000067-a-b1")</f>
        <v>UA-2023-03-17-000067-a-b1</v>
      </c>
      <c r="E16" s="1" t="s">
        <v>61</v>
      </c>
      <c r="F16" s="13" t="s">
        <v>1710</v>
      </c>
      <c r="G16" s="13" t="s">
        <v>1710</v>
      </c>
      <c r="H16" s="13" t="s">
        <v>1711</v>
      </c>
      <c r="I16" s="13" t="s">
        <v>1175</v>
      </c>
      <c r="J16" s="13" t="s">
        <v>1712</v>
      </c>
      <c r="K16" s="14">
        <v>38704004</v>
      </c>
      <c r="L16" s="14" t="s">
        <v>1713</v>
      </c>
      <c r="M16" s="23">
        <v>2033</v>
      </c>
      <c r="N16" s="16">
        <v>45588</v>
      </c>
      <c r="O16" s="16">
        <v>45657</v>
      </c>
      <c r="P16" s="14" t="s">
        <v>1674</v>
      </c>
    </row>
    <row r="17" spans="1:16" ht="26.25">
      <c r="A17" s="12">
        <f t="shared" si="0"/>
        <v>11</v>
      </c>
      <c r="B17" s="2" t="str">
        <f>HYPERLINK("https://my.zakupki.prom.ua/remote/dispatcher/state_purchase_view/42758026", "UA-2023-05-22-012483-a")</f>
        <v>UA-2023-05-22-012483-a</v>
      </c>
      <c r="C17" s="2" t="s">
        <v>1276</v>
      </c>
      <c r="D17" s="2" t="str">
        <f>HYPERLINK("https://my.zakupki.prom.ua/remote/dispatcher/state_contracting_view/16476898", "UA-2023-05-22-012483-a-b1")</f>
        <v>UA-2023-05-22-012483-a-b1</v>
      </c>
      <c r="E17" s="1" t="s">
        <v>833</v>
      </c>
      <c r="F17" s="13" t="s">
        <v>1714</v>
      </c>
      <c r="G17" s="13" t="s">
        <v>1714</v>
      </c>
      <c r="H17" s="13" t="s">
        <v>663</v>
      </c>
      <c r="I17" s="13" t="s">
        <v>1175</v>
      </c>
      <c r="J17" s="13" t="s">
        <v>1715</v>
      </c>
      <c r="K17" s="14">
        <v>2796220771</v>
      </c>
      <c r="L17" s="14" t="s">
        <v>1716</v>
      </c>
      <c r="M17" s="23">
        <v>1406</v>
      </c>
      <c r="N17" s="16">
        <v>45590</v>
      </c>
      <c r="O17" s="16">
        <v>45657</v>
      </c>
      <c r="P17" s="14" t="s">
        <v>1674</v>
      </c>
    </row>
    <row r="18" spans="1:16" ht="26.25">
      <c r="A18" s="12">
        <f t="shared" si="0"/>
        <v>12</v>
      </c>
      <c r="B18" s="2" t="str">
        <f>HYPERLINK("https://my.zakupki.prom.ua/remote/dispatcher/state_purchase_view/42214417", "UA-2023-04-26-012590-a")</f>
        <v>UA-2023-04-26-012590-a</v>
      </c>
      <c r="C18" s="2" t="s">
        <v>1276</v>
      </c>
      <c r="D18" s="2" t="str">
        <f>HYPERLINK("https://my.zakupki.prom.ua/remote/dispatcher/state_contracting_view/16226974", "UA-2023-04-26-012590-a-c1")</f>
        <v>UA-2023-04-26-012590-a-c1</v>
      </c>
      <c r="E18" s="1" t="s">
        <v>976</v>
      </c>
      <c r="F18" s="13" t="s">
        <v>1717</v>
      </c>
      <c r="G18" s="13" t="s">
        <v>1717</v>
      </c>
      <c r="H18" s="13" t="s">
        <v>1718</v>
      </c>
      <c r="I18" s="13" t="s">
        <v>1175</v>
      </c>
      <c r="J18" s="13" t="s">
        <v>1719</v>
      </c>
      <c r="K18" s="14">
        <v>22432779</v>
      </c>
      <c r="L18" s="14" t="s">
        <v>1720</v>
      </c>
      <c r="M18" s="23">
        <v>1302.69</v>
      </c>
      <c r="N18" s="16">
        <v>45597</v>
      </c>
      <c r="O18" s="16">
        <v>45657</v>
      </c>
      <c r="P18" s="14" t="s">
        <v>1674</v>
      </c>
    </row>
    <row r="19" spans="1:16" ht="39">
      <c r="A19" s="12">
        <f t="shared" si="0"/>
        <v>13</v>
      </c>
      <c r="B19" s="2" t="str">
        <f>HYPERLINK("https://my.zakupki.prom.ua/remote/dispatcher/state_purchase_view/43996934", "UA-2023-07-18-012110-a")</f>
        <v>UA-2023-07-18-012110-a</v>
      </c>
      <c r="C19" s="2" t="s">
        <v>1276</v>
      </c>
      <c r="D19" s="2" t="str">
        <f>HYPERLINK("https://my.zakupki.prom.ua/remote/dispatcher/state_contracting_view/17041374", "UA-2023-07-18-012110-a-c1")</f>
        <v>UA-2023-07-18-012110-a-c1</v>
      </c>
      <c r="E19" s="1" t="s">
        <v>1023</v>
      </c>
      <c r="F19" s="13" t="s">
        <v>1721</v>
      </c>
      <c r="G19" s="13" t="s">
        <v>1721</v>
      </c>
      <c r="H19" s="13" t="s">
        <v>760</v>
      </c>
      <c r="I19" s="13" t="s">
        <v>1175</v>
      </c>
      <c r="J19" s="13" t="s">
        <v>1722</v>
      </c>
      <c r="K19" s="14">
        <v>32564525</v>
      </c>
      <c r="L19" s="14" t="s">
        <v>1723</v>
      </c>
      <c r="M19" s="23">
        <v>7200</v>
      </c>
      <c r="N19" s="16">
        <v>45610</v>
      </c>
      <c r="O19" s="16">
        <v>45657</v>
      </c>
      <c r="P19" s="14" t="s">
        <v>1674</v>
      </c>
    </row>
    <row r="20" spans="1:16" ht="26.25">
      <c r="A20" s="12">
        <f t="shared" si="0"/>
        <v>14</v>
      </c>
      <c r="B20" s="2" t="str">
        <f>HYPERLINK("https://my.zakupki.prom.ua/remote/dispatcher/state_purchase_view/44000876", "UA-2023-07-19-001362-a")</f>
        <v>UA-2023-07-19-001362-a</v>
      </c>
      <c r="C20" s="2" t="s">
        <v>1276</v>
      </c>
      <c r="D20" s="2" t="str">
        <f>HYPERLINK("https://my.zakupki.prom.ua/remote/dispatcher/state_contracting_view/17043024", "UA-2023-07-19-001362-a-a1")</f>
        <v>UA-2023-07-19-001362-a-a1</v>
      </c>
      <c r="E20" s="1" t="s">
        <v>813</v>
      </c>
      <c r="F20" s="13" t="s">
        <v>1724</v>
      </c>
      <c r="G20" s="13" t="s">
        <v>1724</v>
      </c>
      <c r="H20" s="13" t="s">
        <v>1725</v>
      </c>
      <c r="I20" s="13" t="s">
        <v>1175</v>
      </c>
      <c r="J20" s="13" t="s">
        <v>1726</v>
      </c>
      <c r="K20" s="14">
        <v>31537375</v>
      </c>
      <c r="L20" s="14" t="s">
        <v>1730</v>
      </c>
      <c r="M20" s="23">
        <v>4446.28</v>
      </c>
      <c r="N20" s="16">
        <v>45610</v>
      </c>
      <c r="O20" s="16">
        <v>45657</v>
      </c>
      <c r="P20" s="14" t="s">
        <v>1674</v>
      </c>
    </row>
    <row r="21" spans="1:16" ht="26.25">
      <c r="A21" s="12">
        <f t="shared" si="0"/>
        <v>15</v>
      </c>
      <c r="B21" s="2" t="str">
        <f>HYPERLINK("https://my.zakupki.prom.ua/remote/dispatcher/state_purchase_view/44399229", "UA-2023-08-08-010022-a")</f>
        <v>UA-2023-08-08-010022-a</v>
      </c>
      <c r="C21" s="2" t="s">
        <v>1276</v>
      </c>
      <c r="D21" s="2" t="str">
        <f>HYPERLINK("https://my.zakupki.prom.ua/remote/dispatcher/state_contracting_view/17215074", "UA-2023-08-08-010022-a-a1")</f>
        <v>UA-2023-08-08-010022-a-a1</v>
      </c>
      <c r="E21" s="1" t="s">
        <v>926</v>
      </c>
      <c r="F21" s="13" t="s">
        <v>1727</v>
      </c>
      <c r="G21" s="13" t="s">
        <v>1727</v>
      </c>
      <c r="H21" s="13" t="s">
        <v>438</v>
      </c>
      <c r="I21" s="13" t="s">
        <v>1175</v>
      </c>
      <c r="J21" s="13" t="s">
        <v>1728</v>
      </c>
      <c r="K21" s="14">
        <v>2403201530</v>
      </c>
      <c r="L21" s="14" t="s">
        <v>1729</v>
      </c>
      <c r="M21" s="23">
        <v>2280</v>
      </c>
      <c r="N21" s="16">
        <v>45635</v>
      </c>
      <c r="O21" s="16">
        <v>45657</v>
      </c>
      <c r="P21" s="14" t="s">
        <v>1674</v>
      </c>
    </row>
    <row r="22" spans="1:16" ht="39">
      <c r="A22" s="12">
        <f t="shared" si="0"/>
        <v>16</v>
      </c>
      <c r="B22" s="2" t="str">
        <f>HYPERLINK("https://my.zakupki.prom.ua/remote/dispatcher/state_purchase_view/44431029", "UA-2023-08-09-011923-a")</f>
        <v>UA-2023-08-09-011923-a</v>
      </c>
      <c r="C22" s="2" t="s">
        <v>1276</v>
      </c>
      <c r="D22" s="2" t="str">
        <f>HYPERLINK("https://my.zakupki.prom.ua/remote/dispatcher/state_contracting_view/17228869", "UA-2023-08-09-011923-a-b1")</f>
        <v>UA-2023-08-09-011923-a-b1</v>
      </c>
      <c r="E22" s="1" t="s">
        <v>905</v>
      </c>
      <c r="F22" s="13" t="s">
        <v>1731</v>
      </c>
      <c r="G22" s="13" t="s">
        <v>1731</v>
      </c>
      <c r="H22" s="24" t="s">
        <v>1732</v>
      </c>
      <c r="I22" s="13" t="s">
        <v>1175</v>
      </c>
      <c r="J22" s="13" t="s">
        <v>1733</v>
      </c>
      <c r="K22" s="14">
        <v>45792309</v>
      </c>
      <c r="L22" s="14" t="s">
        <v>1734</v>
      </c>
      <c r="M22" s="23">
        <v>4296</v>
      </c>
      <c r="N22" s="16">
        <v>45635</v>
      </c>
      <c r="O22" s="16">
        <v>45657</v>
      </c>
      <c r="P22" s="14" t="s">
        <v>1674</v>
      </c>
    </row>
    <row r="23" spans="1:16" ht="26.25">
      <c r="A23" s="12">
        <f t="shared" si="0"/>
        <v>17</v>
      </c>
      <c r="B23" s="2" t="str">
        <f>HYPERLINK("https://my.zakupki.prom.ua/remote/dispatcher/state_purchase_view/40918997", "UA-2023-02-17-000372-a")</f>
        <v>UA-2023-02-17-000372-a</v>
      </c>
      <c r="C23" s="2" t="s">
        <v>1276</v>
      </c>
      <c r="D23" s="2" t="str">
        <f>HYPERLINK("https://my.zakupki.prom.ua/remote/dispatcher/state_contracting_view/15658708", "UA-2023-02-17-000372-a-c1")</f>
        <v>UA-2023-02-17-000372-a-c1</v>
      </c>
      <c r="E23" s="1" t="s">
        <v>740</v>
      </c>
      <c r="F23" s="13" t="s">
        <v>1735</v>
      </c>
      <c r="G23" s="13" t="s">
        <v>1735</v>
      </c>
      <c r="H23" s="13" t="s">
        <v>1736</v>
      </c>
      <c r="I23" s="13" t="s">
        <v>1175</v>
      </c>
      <c r="J23" s="13" t="s">
        <v>1687</v>
      </c>
      <c r="K23" s="14">
        <v>3180319112</v>
      </c>
      <c r="L23" s="14" t="s">
        <v>1737</v>
      </c>
      <c r="M23" s="23">
        <v>3400</v>
      </c>
      <c r="N23" s="16">
        <v>45644</v>
      </c>
      <c r="O23" s="16">
        <v>45657</v>
      </c>
      <c r="P23" s="14" t="s">
        <v>1674</v>
      </c>
    </row>
    <row r="24" spans="1:16" ht="26.25">
      <c r="A24" s="12">
        <f t="shared" si="0"/>
        <v>18</v>
      </c>
      <c r="B24" s="2" t="str">
        <f>HYPERLINK("https://my.zakupki.prom.ua/remote/dispatcher/state_purchase_view/41712315", "UA-2023-03-29-010427-a")</f>
        <v>UA-2023-03-29-010427-a</v>
      </c>
      <c r="C24" s="2" t="s">
        <v>1276</v>
      </c>
      <c r="D24" s="2" t="str">
        <f>HYPERLINK("https://my.zakupki.prom.ua/remote/dispatcher/state_contracting_view/16009784", "UA-2023-03-29-010427-a-c1")</f>
        <v>UA-2023-03-29-010427-a-c1</v>
      </c>
      <c r="E24" s="1" t="s">
        <v>806</v>
      </c>
      <c r="F24" s="13" t="s">
        <v>1738</v>
      </c>
      <c r="G24" s="13" t="s">
        <v>1738</v>
      </c>
      <c r="H24" s="13" t="s">
        <v>778</v>
      </c>
      <c r="I24" s="13" t="s">
        <v>1175</v>
      </c>
      <c r="J24" s="13" t="s">
        <v>1739</v>
      </c>
      <c r="K24" s="14">
        <v>20872794</v>
      </c>
      <c r="L24" s="14" t="s">
        <v>1740</v>
      </c>
      <c r="M24" s="23">
        <v>1551.84</v>
      </c>
      <c r="N24" s="16">
        <v>45646</v>
      </c>
      <c r="O24" s="16">
        <v>45657</v>
      </c>
      <c r="P24" s="14" t="s">
        <v>1674</v>
      </c>
    </row>
    <row r="25" spans="1:16" ht="51.75">
      <c r="A25" s="12">
        <f t="shared" si="0"/>
        <v>19</v>
      </c>
      <c r="B25" s="2" t="str">
        <f>HYPERLINK("https://my.zakupki.prom.ua/remote/dispatcher/state_purchase_view/41466464", "UA-2023-03-16-011298-a")</f>
        <v>UA-2023-03-16-011298-a</v>
      </c>
      <c r="C25" s="2" t="s">
        <v>1276</v>
      </c>
      <c r="D25" s="2" t="str">
        <f>HYPERLINK("https://my.zakupki.prom.ua/remote/dispatcher/state_contracting_view/15905675", "UA-2023-03-16-011298-a-c1")</f>
        <v>UA-2023-03-16-011298-a-c1</v>
      </c>
      <c r="E25" s="1" t="s">
        <v>983</v>
      </c>
      <c r="F25" s="13" t="s">
        <v>1741</v>
      </c>
      <c r="G25" s="13" t="s">
        <v>1741</v>
      </c>
      <c r="H25" s="13" t="s">
        <v>1742</v>
      </c>
      <c r="I25" s="13" t="s">
        <v>1743</v>
      </c>
      <c r="J25" s="13" t="s">
        <v>1744</v>
      </c>
      <c r="K25" s="14">
        <v>37493061</v>
      </c>
      <c r="L25" s="14" t="s">
        <v>1745</v>
      </c>
      <c r="M25" s="23">
        <v>1788000</v>
      </c>
      <c r="N25" s="16">
        <v>45649</v>
      </c>
      <c r="O25" s="16">
        <v>45746</v>
      </c>
      <c r="P25" s="14" t="s">
        <v>1674</v>
      </c>
    </row>
    <row r="26" spans="1:16">
      <c r="A26" s="12">
        <f t="shared" si="0"/>
        <v>20</v>
      </c>
      <c r="B26" s="2" t="str">
        <f>HYPERLINK("https://my.zakupki.prom.ua/remote/dispatcher/state_purchase_view/42292687", "UA-2023-05-01-012444-a")</f>
        <v>UA-2023-05-01-012444-a</v>
      </c>
      <c r="C26" s="2" t="s">
        <v>1276</v>
      </c>
      <c r="D26" s="2" t="str">
        <f>HYPERLINK("https://my.zakupki.prom.ua/remote/dispatcher/state_contracting_view/16262922", "UA-2023-05-01-012444-a-a1")</f>
        <v>UA-2023-05-01-012444-a-a1</v>
      </c>
      <c r="E26" s="1" t="s">
        <v>88</v>
      </c>
      <c r="F26" s="13"/>
      <c r="G26" s="13"/>
      <c r="H26" s="13"/>
      <c r="I26" s="13"/>
      <c r="J26" s="13"/>
      <c r="K26" s="14"/>
      <c r="L26" s="14"/>
      <c r="M26" s="23"/>
      <c r="N26" s="16"/>
      <c r="O26" s="16"/>
      <c r="P26" s="14"/>
    </row>
    <row r="27" spans="1:16">
      <c r="A27" s="12">
        <f t="shared" si="0"/>
        <v>21</v>
      </c>
      <c r="B27" s="2" t="str">
        <f>HYPERLINK("https://my.zakupki.prom.ua/remote/dispatcher/state_purchase_view/42031229", "UA-2023-04-17-007460-a")</f>
        <v>UA-2023-04-17-007460-a</v>
      </c>
      <c r="C27" s="2" t="s">
        <v>1276</v>
      </c>
      <c r="D27" s="2" t="str">
        <f>HYPERLINK("https://my.zakupki.prom.ua/remote/dispatcher/state_contracting_view/16147512", "UA-2023-04-17-007460-a-a1")</f>
        <v>UA-2023-04-17-007460-a-a1</v>
      </c>
      <c r="E27" s="1" t="s">
        <v>737</v>
      </c>
      <c r="F27" s="13"/>
      <c r="G27" s="13"/>
      <c r="H27" s="13"/>
      <c r="I27" s="13"/>
      <c r="J27" s="13"/>
      <c r="K27" s="14"/>
      <c r="L27" s="14"/>
      <c r="M27" s="23"/>
      <c r="N27" s="16"/>
      <c r="O27" s="16"/>
      <c r="P27" s="14"/>
    </row>
    <row r="28" spans="1:16">
      <c r="A28" s="12">
        <f t="shared" si="0"/>
        <v>22</v>
      </c>
      <c r="B28" s="2" t="str">
        <f>HYPERLINK("https://my.zakupki.prom.ua/remote/dispatcher/state_purchase_view/42078490", "UA-2023-04-19-010573-a")</f>
        <v>UA-2023-04-19-010573-a</v>
      </c>
      <c r="C28" s="2" t="s">
        <v>1276</v>
      </c>
      <c r="D28" s="2" t="str">
        <f>HYPERLINK("https://my.zakupki.prom.ua/remote/dispatcher/state_contracting_view/16167823", "UA-2023-04-19-010573-a-a1")</f>
        <v>UA-2023-04-19-010573-a-a1</v>
      </c>
      <c r="E28" s="1" t="s">
        <v>741</v>
      </c>
      <c r="F28" s="13"/>
      <c r="G28" s="13"/>
      <c r="H28" s="13"/>
      <c r="I28" s="13"/>
      <c r="J28" s="13"/>
      <c r="K28" s="14"/>
      <c r="L28" s="14"/>
      <c r="M28" s="23"/>
      <c r="N28" s="16"/>
      <c r="O28" s="16"/>
      <c r="P28" s="14"/>
    </row>
    <row r="29" spans="1:16">
      <c r="A29" s="12">
        <f t="shared" si="0"/>
        <v>23</v>
      </c>
      <c r="B29" s="2" t="str">
        <f>HYPERLINK("https://my.zakupki.prom.ua/remote/dispatcher/state_purchase_view/42100014", "UA-2023-04-20-009009-a")</f>
        <v>UA-2023-04-20-009009-a</v>
      </c>
      <c r="C29" s="2" t="str">
        <f>HYPERLINK("https://my.zakupki.prom.ua/remote/dispatcher/state_purchase_lot_view/925444", "UA-2023-04-20-009009-a-L925444")</f>
        <v>UA-2023-04-20-009009-a-L925444</v>
      </c>
      <c r="D29" s="2" t="str">
        <f>HYPERLINK("https://my.zakupki.prom.ua/remote/dispatcher/state_contracting_view/16398078", "UA-2023-04-20-009009-a-c1")</f>
        <v>UA-2023-04-20-009009-a-c1</v>
      </c>
      <c r="E29" s="1" t="s">
        <v>434</v>
      </c>
      <c r="F29" s="13"/>
      <c r="G29" s="13"/>
      <c r="H29" s="13"/>
      <c r="I29" s="13"/>
      <c r="J29" s="13"/>
      <c r="K29" s="14"/>
      <c r="L29" s="14"/>
      <c r="M29" s="23"/>
      <c r="N29" s="16"/>
      <c r="O29" s="16"/>
      <c r="P29" s="14"/>
    </row>
    <row r="30" spans="1:16">
      <c r="A30" s="12">
        <f t="shared" si="0"/>
        <v>24</v>
      </c>
      <c r="B30" s="2" t="str">
        <f>HYPERLINK("https://my.zakupki.prom.ua/remote/dispatcher/state_purchase_view/40718305", "UA-2023-02-08-015330-a")</f>
        <v>UA-2023-02-08-015330-a</v>
      </c>
      <c r="C30" s="2" t="s">
        <v>1276</v>
      </c>
      <c r="D30" s="2" t="str">
        <f>HYPERLINK("https://my.zakupki.prom.ua/remote/dispatcher/state_contracting_view/15563686", "UA-2023-02-08-015330-a-c1")</f>
        <v>UA-2023-02-08-015330-a-c1</v>
      </c>
      <c r="E30" s="1" t="s">
        <v>856</v>
      </c>
      <c r="F30" s="13"/>
      <c r="G30" s="13"/>
      <c r="H30" s="13"/>
      <c r="I30" s="13"/>
      <c r="J30" s="13"/>
      <c r="K30" s="14"/>
      <c r="L30" s="14"/>
      <c r="M30" s="23"/>
      <c r="N30" s="16"/>
      <c r="O30" s="16"/>
      <c r="P30" s="14"/>
    </row>
    <row r="31" spans="1:16">
      <c r="A31" s="12">
        <f t="shared" si="0"/>
        <v>25</v>
      </c>
      <c r="B31" s="2" t="str">
        <f>HYPERLINK("https://my.zakupki.prom.ua/remote/dispatcher/state_purchase_view/42540790", "UA-2023-05-11-014575-a")</f>
        <v>UA-2023-05-11-014575-a</v>
      </c>
      <c r="C31" s="2" t="s">
        <v>1276</v>
      </c>
      <c r="D31" s="2" t="str">
        <f>HYPERLINK("https://my.zakupki.prom.ua/remote/dispatcher/state_contracting_view/16376822", "UA-2023-05-11-014575-a-b1")</f>
        <v>UA-2023-05-11-014575-a-b1</v>
      </c>
      <c r="E31" s="1" t="s">
        <v>774</v>
      </c>
      <c r="F31" s="13"/>
      <c r="G31" s="13"/>
      <c r="H31" s="13"/>
      <c r="I31" s="13"/>
      <c r="J31" s="13"/>
      <c r="K31" s="14"/>
      <c r="L31" s="14"/>
      <c r="M31" s="23"/>
      <c r="N31" s="16"/>
      <c r="O31" s="16"/>
      <c r="P31" s="14"/>
    </row>
    <row r="32" spans="1:16">
      <c r="A32" s="12">
        <f t="shared" si="0"/>
        <v>26</v>
      </c>
      <c r="B32" s="2" t="str">
        <f>HYPERLINK("https://my.zakupki.prom.ua/remote/dispatcher/state_purchase_view/42758394", "UA-2023-05-22-012640-a")</f>
        <v>UA-2023-05-22-012640-a</v>
      </c>
      <c r="C32" s="2" t="s">
        <v>1276</v>
      </c>
      <c r="D32" s="2" t="str">
        <f>HYPERLINK("https://my.zakupki.prom.ua/remote/dispatcher/state_contracting_view/16477131", "UA-2023-05-22-012640-a-c1")</f>
        <v>UA-2023-05-22-012640-a-c1</v>
      </c>
      <c r="E32" s="1" t="s">
        <v>907</v>
      </c>
      <c r="F32" s="13"/>
      <c r="G32" s="13"/>
      <c r="H32" s="13"/>
      <c r="I32" s="13"/>
      <c r="J32" s="13"/>
      <c r="K32" s="14"/>
      <c r="L32" s="14"/>
      <c r="M32" s="23"/>
      <c r="N32" s="16"/>
      <c r="P32" s="14"/>
    </row>
    <row r="33" spans="1:16">
      <c r="A33" s="12">
        <f t="shared" si="0"/>
        <v>27</v>
      </c>
      <c r="B33" s="2" t="str">
        <f>HYPERLINK("https://my.zakupki.prom.ua/remote/dispatcher/state_purchase_view/42628317", "UA-2023-05-16-012591-a")</f>
        <v>UA-2023-05-16-012591-a</v>
      </c>
      <c r="C33" s="2" t="s">
        <v>1276</v>
      </c>
      <c r="D33" s="2" t="str">
        <f>HYPERLINK("https://my.zakupki.prom.ua/remote/dispatcher/state_contracting_view/16417097", "UA-2023-05-16-012591-a-c1")</f>
        <v>UA-2023-05-16-012591-a-c1</v>
      </c>
      <c r="E33" s="1" t="s">
        <v>979</v>
      </c>
      <c r="F33" s="13"/>
      <c r="G33" s="13"/>
      <c r="H33" s="13"/>
      <c r="I33" s="13"/>
      <c r="J33" s="13"/>
      <c r="K33" s="14"/>
      <c r="L33" s="14"/>
      <c r="M33" s="23"/>
      <c r="N33" s="16"/>
      <c r="O33" s="16"/>
      <c r="P33" s="14"/>
    </row>
    <row r="34" spans="1:16">
      <c r="A34" s="12">
        <f t="shared" si="0"/>
        <v>28</v>
      </c>
      <c r="B34" s="2" t="str">
        <f>HYPERLINK("https://my.zakupki.prom.ua/remote/dispatcher/state_purchase_view/42630120", "UA-2023-05-16-013408-a")</f>
        <v>UA-2023-05-16-013408-a</v>
      </c>
      <c r="C34" s="2" t="s">
        <v>1276</v>
      </c>
      <c r="D34" s="2" t="str">
        <f>HYPERLINK("https://my.zakupki.prom.ua/remote/dispatcher/state_contracting_view/16418019", "UA-2023-05-16-013408-a-a1")</f>
        <v>UA-2023-05-16-013408-a-a1</v>
      </c>
      <c r="E34" s="1" t="s">
        <v>681</v>
      </c>
      <c r="F34" s="13"/>
      <c r="G34" s="13"/>
      <c r="H34" s="13"/>
      <c r="I34" s="13"/>
      <c r="J34" s="13"/>
      <c r="K34" s="14"/>
      <c r="L34" s="14"/>
      <c r="M34" s="23"/>
      <c r="N34" s="16"/>
      <c r="O34" s="16"/>
      <c r="P34" s="16"/>
    </row>
    <row r="35" spans="1:16">
      <c r="A35" s="12">
        <f t="shared" si="0"/>
        <v>29</v>
      </c>
      <c r="B35" s="2" t="str">
        <f>HYPERLINK("https://my.zakupki.prom.ua/remote/dispatcher/state_purchase_view/42630906", "UA-2023-05-16-013852-a")</f>
        <v>UA-2023-05-16-013852-a</v>
      </c>
      <c r="C35" s="2" t="s">
        <v>1276</v>
      </c>
      <c r="D35" s="2" t="str">
        <f>HYPERLINK("https://my.zakupki.prom.ua/remote/dispatcher/state_contracting_view/16418620", "UA-2023-05-16-013852-a-b1")</f>
        <v>UA-2023-05-16-013852-a-b1</v>
      </c>
      <c r="E35" s="1" t="s">
        <v>629</v>
      </c>
      <c r="F35" s="13"/>
      <c r="G35" s="13"/>
      <c r="H35" s="13"/>
      <c r="I35" s="13"/>
      <c r="J35" s="13"/>
      <c r="K35" s="14"/>
      <c r="L35" s="14"/>
      <c r="M35" s="23"/>
      <c r="N35" s="16"/>
      <c r="O35" s="16"/>
      <c r="P35" s="14"/>
    </row>
    <row r="36" spans="1:16" hidden="1">
      <c r="A36" s="4">
        <v>82</v>
      </c>
      <c r="B36" s="2" t="str">
        <f>HYPERLINK("https://my.zakupki.prom.ua/remote/dispatcher/state_purchase_view/39849640", "UA-2022-12-29-003896-a")</f>
        <v>UA-2022-12-29-003896-a</v>
      </c>
      <c r="C36" s="2" t="s">
        <v>1276</v>
      </c>
      <c r="D36" s="2" t="str">
        <f>HYPERLINK("https://my.zakupki.prom.ua/remote/dispatcher/state_contracting_view/15163796", "UA-2022-12-29-003896-a-c1")</f>
        <v>UA-2022-12-29-003896-a-c1</v>
      </c>
      <c r="E36" s="1" t="s">
        <v>1008</v>
      </c>
      <c r="F36" s="1" t="s">
        <v>1360</v>
      </c>
      <c r="G36" s="1" t="s">
        <v>1360</v>
      </c>
      <c r="H36" s="1" t="s">
        <v>109</v>
      </c>
      <c r="I36" s="1" t="s">
        <v>1175</v>
      </c>
      <c r="J36" s="1" t="s">
        <v>1636</v>
      </c>
      <c r="K36" s="1" t="s">
        <v>592</v>
      </c>
      <c r="L36" s="1" t="s">
        <v>636</v>
      </c>
      <c r="M36" s="5">
        <v>99328</v>
      </c>
      <c r="N36" s="6">
        <v>44924</v>
      </c>
      <c r="O36" s="6">
        <v>45291</v>
      </c>
      <c r="P36" s="1" t="s">
        <v>1674</v>
      </c>
    </row>
    <row r="37" spans="1:16" hidden="1">
      <c r="A37" s="4">
        <v>120</v>
      </c>
      <c r="B37" s="2" t="str">
        <f>HYPERLINK("https://my.zakupki.prom.ua/remote/dispatcher/state_purchase_view/35060438", "UA-2022-02-10-011315-b")</f>
        <v>UA-2022-02-10-011315-b</v>
      </c>
      <c r="C37" s="2" t="s">
        <v>1276</v>
      </c>
      <c r="D37" s="2" t="str">
        <f>HYPERLINK("https://my.zakupki.prom.ua/remote/dispatcher/state_contracting_view/12834079", "UA-2022-02-10-011315-b-b1")</f>
        <v>UA-2022-02-10-011315-b-b1</v>
      </c>
      <c r="E37" s="1" t="s">
        <v>722</v>
      </c>
      <c r="F37" s="1" t="s">
        <v>1260</v>
      </c>
      <c r="G37" s="1" t="s">
        <v>1259</v>
      </c>
      <c r="H37" s="1" t="s">
        <v>715</v>
      </c>
      <c r="I37" s="1" t="s">
        <v>1175</v>
      </c>
      <c r="J37" s="1" t="s">
        <v>1147</v>
      </c>
      <c r="K37" s="1" t="s">
        <v>329</v>
      </c>
      <c r="L37" s="1" t="s">
        <v>126</v>
      </c>
      <c r="M37" s="5">
        <v>19970</v>
      </c>
      <c r="N37" s="6">
        <v>44600</v>
      </c>
      <c r="O37" s="6">
        <v>44926</v>
      </c>
      <c r="P37" s="1" t="s">
        <v>1674</v>
      </c>
    </row>
    <row r="38" spans="1:16" hidden="1">
      <c r="A38" s="4">
        <v>121</v>
      </c>
      <c r="B38" s="2" t="str">
        <f>HYPERLINK("https://my.zakupki.prom.ua/remote/dispatcher/state_purchase_view/35067533", "UA-2022-02-10-013374-b")</f>
        <v>UA-2022-02-10-013374-b</v>
      </c>
      <c r="C38" s="2" t="s">
        <v>1276</v>
      </c>
      <c r="D38" s="2" t="str">
        <f>HYPERLINK("https://my.zakupki.prom.ua/remote/dispatcher/state_contracting_view/12836919", "UA-2022-02-10-013374-b-b1")</f>
        <v>UA-2022-02-10-013374-b-b1</v>
      </c>
      <c r="E38" s="1" t="s">
        <v>1012</v>
      </c>
      <c r="F38" s="1" t="s">
        <v>1270</v>
      </c>
      <c r="G38" s="1" t="s">
        <v>1270</v>
      </c>
      <c r="H38" s="1" t="s">
        <v>633</v>
      </c>
      <c r="I38" s="1" t="s">
        <v>1175</v>
      </c>
      <c r="J38" s="1" t="s">
        <v>1197</v>
      </c>
      <c r="K38" s="1" t="s">
        <v>437</v>
      </c>
      <c r="L38" s="1" t="s">
        <v>385</v>
      </c>
      <c r="M38" s="5">
        <v>30000</v>
      </c>
      <c r="N38" s="6">
        <v>44600</v>
      </c>
      <c r="O38" s="6">
        <v>44926</v>
      </c>
      <c r="P38" s="1" t="s">
        <v>1674</v>
      </c>
    </row>
    <row r="39" spans="1:16" hidden="1">
      <c r="A39" s="4">
        <v>122</v>
      </c>
      <c r="B39" s="2" t="str">
        <f>HYPERLINK("https://my.zakupki.prom.ua/remote/dispatcher/state_purchase_view/34829680", "UA-2022-02-04-002198-b")</f>
        <v>UA-2022-02-04-002198-b</v>
      </c>
      <c r="C39" s="2" t="s">
        <v>1276</v>
      </c>
      <c r="D39" s="2" t="str">
        <f>HYPERLINK("https://my.zakupki.prom.ua/remote/dispatcher/state_contracting_view/12724968", "UA-2022-02-04-002198-b-b1")</f>
        <v>UA-2022-02-04-002198-b-b1</v>
      </c>
      <c r="E39" s="1" t="s">
        <v>426</v>
      </c>
      <c r="F39" s="1" t="s">
        <v>1548</v>
      </c>
      <c r="G39" s="1" t="s">
        <v>1548</v>
      </c>
      <c r="H39" s="1" t="s">
        <v>828</v>
      </c>
      <c r="I39" s="1" t="s">
        <v>1175</v>
      </c>
      <c r="J39" s="1" t="s">
        <v>1196</v>
      </c>
      <c r="K39" s="1" t="s">
        <v>468</v>
      </c>
      <c r="L39" s="1" t="s">
        <v>79</v>
      </c>
      <c r="M39" s="5">
        <v>128.4</v>
      </c>
      <c r="N39" s="6">
        <v>44594</v>
      </c>
      <c r="O39" s="6">
        <v>44926</v>
      </c>
      <c r="P39" s="1" t="s">
        <v>1674</v>
      </c>
    </row>
    <row r="40" spans="1:16" hidden="1">
      <c r="A40" s="4">
        <v>123</v>
      </c>
      <c r="B40" s="2" t="str">
        <f>HYPERLINK("https://my.zakupki.prom.ua/remote/dispatcher/state_purchase_view/34832326", "UA-2022-02-04-003130-b")</f>
        <v>UA-2022-02-04-003130-b</v>
      </c>
      <c r="C40" s="2" t="s">
        <v>1276</v>
      </c>
      <c r="D40" s="2" t="str">
        <f>HYPERLINK("https://my.zakupki.prom.ua/remote/dispatcher/state_contracting_view/12726799", "UA-2022-02-04-003130-b-b1")</f>
        <v>UA-2022-02-04-003130-b-b1</v>
      </c>
      <c r="E40" s="1" t="s">
        <v>954</v>
      </c>
      <c r="F40" s="1" t="s">
        <v>1554</v>
      </c>
      <c r="G40" s="1" t="s">
        <v>1554</v>
      </c>
      <c r="H40" s="1" t="s">
        <v>743</v>
      </c>
      <c r="I40" s="1" t="s">
        <v>1175</v>
      </c>
      <c r="J40" s="1" t="s">
        <v>1196</v>
      </c>
      <c r="K40" s="1" t="s">
        <v>468</v>
      </c>
      <c r="L40" s="1" t="s">
        <v>847</v>
      </c>
      <c r="M40" s="5">
        <v>7319.73</v>
      </c>
      <c r="N40" s="6">
        <v>44594</v>
      </c>
      <c r="O40" s="6">
        <v>44926</v>
      </c>
      <c r="P40" s="1" t="s">
        <v>1674</v>
      </c>
    </row>
    <row r="41" spans="1:16" hidden="1">
      <c r="A41" s="4">
        <v>124</v>
      </c>
      <c r="B41" s="2" t="str">
        <f>HYPERLINK("https://my.zakupki.prom.ua/remote/dispatcher/state_purchase_view/35055879", "UA-2022-02-10-009989-b")</f>
        <v>UA-2022-02-10-009989-b</v>
      </c>
      <c r="C41" s="2" t="s">
        <v>1276</v>
      </c>
      <c r="D41" s="2" t="str">
        <f>HYPERLINK("https://my.zakupki.prom.ua/remote/dispatcher/state_contracting_view/12831815", "UA-2022-02-10-009989-b-b1")</f>
        <v>UA-2022-02-10-009989-b-b1</v>
      </c>
      <c r="E41" s="1" t="s">
        <v>852</v>
      </c>
      <c r="F41" s="1" t="s">
        <v>1359</v>
      </c>
      <c r="G41" s="1" t="s">
        <v>1358</v>
      </c>
      <c r="H41" s="1" t="s">
        <v>109</v>
      </c>
      <c r="I41" s="1" t="s">
        <v>1175</v>
      </c>
      <c r="J41" s="1" t="s">
        <v>1146</v>
      </c>
      <c r="K41" s="1" t="s">
        <v>593</v>
      </c>
      <c r="L41" s="1" t="s">
        <v>127</v>
      </c>
      <c r="M41" s="5">
        <v>27569</v>
      </c>
      <c r="N41" s="6">
        <v>44600</v>
      </c>
      <c r="O41" s="6">
        <v>44926</v>
      </c>
      <c r="P41" s="1" t="s">
        <v>1674</v>
      </c>
    </row>
    <row r="42" spans="1:16" hidden="1">
      <c r="A42" s="4">
        <v>125</v>
      </c>
      <c r="B42" s="2" t="str">
        <f>HYPERLINK("https://my.zakupki.prom.ua/remote/dispatcher/state_purchase_view/34188464", "UA-2022-01-19-001792-a")</f>
        <v>UA-2022-01-19-001792-a</v>
      </c>
      <c r="C42" s="2" t="s">
        <v>1276</v>
      </c>
      <c r="D42" s="2" t="str">
        <f>HYPERLINK("https://my.zakupki.prom.ua/remote/dispatcher/state_contracting_view/12755194", "UA-2022-01-19-001792-a-b1")</f>
        <v>UA-2022-01-19-001792-a-b1</v>
      </c>
      <c r="E42" s="1" t="s">
        <v>1014</v>
      </c>
      <c r="F42" s="1" t="s">
        <v>1318</v>
      </c>
      <c r="G42" s="1" t="s">
        <v>1318</v>
      </c>
      <c r="H42" s="1" t="s">
        <v>758</v>
      </c>
      <c r="I42" s="1" t="s">
        <v>1610</v>
      </c>
      <c r="J42" s="1" t="s">
        <v>1656</v>
      </c>
      <c r="K42" s="1" t="s">
        <v>407</v>
      </c>
      <c r="L42" s="1" t="s">
        <v>46</v>
      </c>
      <c r="M42" s="5">
        <v>129518.78</v>
      </c>
      <c r="N42" s="6">
        <v>44599</v>
      </c>
      <c r="O42" s="6">
        <v>44926</v>
      </c>
      <c r="P42" s="1" t="s">
        <v>1676</v>
      </c>
    </row>
    <row r="43" spans="1:16" hidden="1">
      <c r="A43" s="4">
        <v>126</v>
      </c>
      <c r="B43" s="2" t="str">
        <f>HYPERLINK("https://my.zakupki.prom.ua/remote/dispatcher/state_purchase_view/36308424", "UA-2022-06-07-004446-a")</f>
        <v>UA-2022-06-07-004446-a</v>
      </c>
      <c r="C43" s="2" t="s">
        <v>1276</v>
      </c>
      <c r="D43" s="2" t="str">
        <f>HYPERLINK("https://my.zakupki.prom.ua/remote/dispatcher/state_contracting_view/13465392", "UA-2022-06-07-004446-a-b1")</f>
        <v>UA-2022-06-07-004446-a-b1</v>
      </c>
      <c r="E43" s="1" t="s">
        <v>910</v>
      </c>
      <c r="F43" s="1" t="s">
        <v>1415</v>
      </c>
      <c r="G43" s="1" t="s">
        <v>1415</v>
      </c>
      <c r="H43" s="1" t="s">
        <v>625</v>
      </c>
      <c r="I43" s="1" t="s">
        <v>1175</v>
      </c>
      <c r="J43" s="1" t="s">
        <v>1199</v>
      </c>
      <c r="K43" s="1" t="s">
        <v>472</v>
      </c>
      <c r="L43" s="1" t="s">
        <v>838</v>
      </c>
      <c r="M43" s="5">
        <v>670</v>
      </c>
      <c r="N43" s="6">
        <v>44715</v>
      </c>
      <c r="O43" s="6">
        <v>44926</v>
      </c>
      <c r="P43" s="1" t="s">
        <v>1674</v>
      </c>
    </row>
    <row r="44" spans="1:16" hidden="1">
      <c r="A44" s="4">
        <v>127</v>
      </c>
      <c r="B44" s="2" t="str">
        <f>HYPERLINK("https://my.zakupki.prom.ua/remote/dispatcher/state_purchase_view/36311256", "UA-2022-06-07-006017-a")</f>
        <v>UA-2022-06-07-006017-a</v>
      </c>
      <c r="C44" s="2" t="s">
        <v>1276</v>
      </c>
      <c r="D44" s="2" t="str">
        <f>HYPERLINK("https://my.zakupki.prom.ua/remote/dispatcher/state_contracting_view/13466956", "UA-2022-06-07-006017-a-b1")</f>
        <v>UA-2022-06-07-006017-a-b1</v>
      </c>
      <c r="E44" s="1" t="s">
        <v>857</v>
      </c>
      <c r="F44" s="1" t="s">
        <v>1415</v>
      </c>
      <c r="G44" s="1" t="s">
        <v>1415</v>
      </c>
      <c r="H44" s="1" t="s">
        <v>627</v>
      </c>
      <c r="I44" s="1" t="s">
        <v>1175</v>
      </c>
      <c r="J44" s="1" t="s">
        <v>1199</v>
      </c>
      <c r="K44" s="1" t="s">
        <v>472</v>
      </c>
      <c r="L44" s="1" t="s">
        <v>849</v>
      </c>
      <c r="M44" s="5">
        <v>214</v>
      </c>
      <c r="N44" s="6">
        <v>44715</v>
      </c>
      <c r="O44" s="6">
        <v>44926</v>
      </c>
      <c r="P44" s="1" t="s">
        <v>1674</v>
      </c>
    </row>
    <row r="45" spans="1:16" hidden="1">
      <c r="A45" s="4">
        <v>128</v>
      </c>
      <c r="B45" s="2" t="str">
        <f>HYPERLINK("https://my.zakupki.prom.ua/remote/dispatcher/state_purchase_view/36309167", "UA-2022-06-07-004867-a")</f>
        <v>UA-2022-06-07-004867-a</v>
      </c>
      <c r="C45" s="2" t="s">
        <v>1276</v>
      </c>
      <c r="D45" s="2" t="str">
        <f>HYPERLINK("https://my.zakupki.prom.ua/remote/dispatcher/state_contracting_view/13465744", "UA-2022-06-07-004867-a-b1")</f>
        <v>UA-2022-06-07-004867-a-b1</v>
      </c>
      <c r="E45" s="1" t="s">
        <v>568</v>
      </c>
      <c r="F45" s="1" t="s">
        <v>1415</v>
      </c>
      <c r="G45" s="1" t="s">
        <v>1415</v>
      </c>
      <c r="H45" s="1" t="s">
        <v>599</v>
      </c>
      <c r="I45" s="1" t="s">
        <v>1175</v>
      </c>
      <c r="J45" s="1" t="s">
        <v>1620</v>
      </c>
      <c r="K45" s="1" t="s">
        <v>378</v>
      </c>
      <c r="L45" s="1" t="s">
        <v>841</v>
      </c>
      <c r="M45" s="5">
        <v>1220</v>
      </c>
      <c r="N45" s="6">
        <v>44715</v>
      </c>
      <c r="O45" s="6">
        <v>44926</v>
      </c>
      <c r="P45" s="1" t="s">
        <v>1674</v>
      </c>
    </row>
    <row r="46" spans="1:16" hidden="1">
      <c r="A46" s="4">
        <v>129</v>
      </c>
      <c r="B46" s="2" t="str">
        <f>HYPERLINK("https://my.zakupki.prom.ua/remote/dispatcher/state_purchase_view/35760770", "UA-2022-03-26-000289-b")</f>
        <v>UA-2022-03-26-000289-b</v>
      </c>
      <c r="C46" s="2" t="s">
        <v>1276</v>
      </c>
      <c r="D46" s="2" t="str">
        <f>HYPERLINK("https://my.zakupki.prom.ua/remote/dispatcher/state_contracting_view/13182548", "UA-2022-03-26-000289-b-b1")</f>
        <v>UA-2022-03-26-000289-b-b1</v>
      </c>
      <c r="E46" s="1" t="s">
        <v>986</v>
      </c>
      <c r="F46" s="1" t="s">
        <v>1564</v>
      </c>
      <c r="G46" s="1" t="s">
        <v>1564</v>
      </c>
      <c r="H46" s="1" t="s">
        <v>524</v>
      </c>
      <c r="I46" s="1" t="s">
        <v>1175</v>
      </c>
      <c r="J46" s="1" t="s">
        <v>1630</v>
      </c>
      <c r="K46" s="1" t="s">
        <v>605</v>
      </c>
      <c r="L46" s="1" t="s">
        <v>34</v>
      </c>
      <c r="M46" s="5">
        <v>28800</v>
      </c>
      <c r="N46" s="6">
        <v>44644</v>
      </c>
      <c r="O46" s="6">
        <v>44926</v>
      </c>
      <c r="P46" s="1" t="s">
        <v>1674</v>
      </c>
    </row>
    <row r="47" spans="1:16" hidden="1">
      <c r="A47" s="4">
        <v>130</v>
      </c>
      <c r="B47" s="2" t="str">
        <f>HYPERLINK("https://my.zakupki.prom.ua/remote/dispatcher/state_purchase_view/38955865", "UA-2022-12-01-013432-a")</f>
        <v>UA-2022-12-01-013432-a</v>
      </c>
      <c r="C47" s="2" t="s">
        <v>1276</v>
      </c>
      <c r="D47" s="2" t="str">
        <f>HYPERLINK("https://my.zakupki.prom.ua/remote/dispatcher/state_contracting_view/14740325", "UA-2022-12-01-013432-a-c1")</f>
        <v>UA-2022-12-01-013432-a-c1</v>
      </c>
      <c r="E47" s="1" t="s">
        <v>924</v>
      </c>
      <c r="F47" s="1" t="s">
        <v>1414</v>
      </c>
      <c r="G47" s="1" t="s">
        <v>1414</v>
      </c>
      <c r="H47" s="1" t="s">
        <v>499</v>
      </c>
      <c r="I47" s="1" t="s">
        <v>1175</v>
      </c>
      <c r="J47" s="1" t="s">
        <v>1148</v>
      </c>
      <c r="K47" s="1" t="s">
        <v>296</v>
      </c>
      <c r="L47" s="1" t="s">
        <v>180</v>
      </c>
      <c r="M47" s="5">
        <v>628.6</v>
      </c>
      <c r="N47" s="6">
        <v>44896</v>
      </c>
      <c r="O47" s="6">
        <v>44926</v>
      </c>
      <c r="P47" s="1" t="s">
        <v>1674</v>
      </c>
    </row>
    <row r="48" spans="1:16" hidden="1">
      <c r="A48" s="4">
        <v>131</v>
      </c>
      <c r="B48" s="2" t="str">
        <f>HYPERLINK("https://my.zakupki.prom.ua/remote/dispatcher/state_purchase_view/38999928", "UA-2022-12-02-017045-a")</f>
        <v>UA-2022-12-02-017045-a</v>
      </c>
      <c r="C48" s="2" t="s">
        <v>1276</v>
      </c>
      <c r="D48" s="2" t="str">
        <f>HYPERLINK("https://my.zakupki.prom.ua/remote/dispatcher/state_contracting_view/14760454", "UA-2022-12-02-017045-a-a1")</f>
        <v>UA-2022-12-02-017045-a-a1</v>
      </c>
      <c r="E48" s="1" t="s">
        <v>918</v>
      </c>
      <c r="F48" s="1" t="s">
        <v>1154</v>
      </c>
      <c r="G48" s="1" t="s">
        <v>1154</v>
      </c>
      <c r="H48" s="1" t="s">
        <v>717</v>
      </c>
      <c r="I48" s="1" t="s">
        <v>1175</v>
      </c>
      <c r="J48" s="1" t="s">
        <v>1290</v>
      </c>
      <c r="K48" s="1" t="s">
        <v>333</v>
      </c>
      <c r="L48" s="1" t="s">
        <v>18</v>
      </c>
      <c r="M48" s="5">
        <v>1057</v>
      </c>
      <c r="N48" s="6">
        <v>44897</v>
      </c>
      <c r="O48" s="6">
        <v>44926</v>
      </c>
      <c r="P48" s="1" t="s">
        <v>1674</v>
      </c>
    </row>
    <row r="49" spans="1:16" hidden="1">
      <c r="A49" s="4">
        <v>132</v>
      </c>
      <c r="B49" s="2" t="str">
        <f>HYPERLINK("https://my.zakupki.prom.ua/remote/dispatcher/state_purchase_view/36744042", "UA-2022-07-20-004388-a")</f>
        <v>UA-2022-07-20-004388-a</v>
      </c>
      <c r="C49" s="2" t="s">
        <v>1276</v>
      </c>
      <c r="D49" s="2" t="str">
        <f>HYPERLINK("https://my.zakupki.prom.ua/remote/dispatcher/state_contracting_view/13678713", "UA-2022-07-20-004388-a-b1")</f>
        <v>UA-2022-07-20-004388-a-b1</v>
      </c>
      <c r="E49" s="1" t="s">
        <v>21</v>
      </c>
      <c r="F49" s="1" t="s">
        <v>1474</v>
      </c>
      <c r="G49" s="1" t="s">
        <v>1474</v>
      </c>
      <c r="H49" s="1" t="s">
        <v>464</v>
      </c>
      <c r="I49" s="1" t="s">
        <v>1175</v>
      </c>
      <c r="J49" s="1" t="s">
        <v>1649</v>
      </c>
      <c r="K49" s="1" t="s">
        <v>230</v>
      </c>
      <c r="L49" s="1" t="s">
        <v>186</v>
      </c>
      <c r="M49" s="5">
        <v>1370</v>
      </c>
      <c r="N49" s="6">
        <v>44761</v>
      </c>
      <c r="O49" s="6">
        <v>44926</v>
      </c>
      <c r="P49" s="1" t="s">
        <v>1674</v>
      </c>
    </row>
    <row r="50" spans="1:16" hidden="1">
      <c r="A50" s="4">
        <v>133</v>
      </c>
      <c r="B50" s="2" t="str">
        <f>HYPERLINK("https://my.zakupki.prom.ua/remote/dispatcher/state_purchase_view/37014385", "UA-2022-08-10-009067-a")</f>
        <v>UA-2022-08-10-009067-a</v>
      </c>
      <c r="C50" s="2" t="s">
        <v>1276</v>
      </c>
      <c r="D50" s="2" t="str">
        <f>HYPERLINK("https://my.zakupki.prom.ua/remote/dispatcher/state_contracting_view/13806221", "UA-2022-08-10-009067-a-b1")</f>
        <v>UA-2022-08-10-009067-a-b1</v>
      </c>
      <c r="E50" s="1" t="s">
        <v>563</v>
      </c>
      <c r="F50" s="1" t="s">
        <v>1498</v>
      </c>
      <c r="G50" s="1" t="s">
        <v>1498</v>
      </c>
      <c r="H50" s="1" t="s">
        <v>501</v>
      </c>
      <c r="I50" s="1" t="s">
        <v>1175</v>
      </c>
      <c r="J50" s="1" t="s">
        <v>1604</v>
      </c>
      <c r="K50" s="1" t="s">
        <v>359</v>
      </c>
      <c r="L50" s="1" t="s">
        <v>336</v>
      </c>
      <c r="M50" s="5">
        <v>708</v>
      </c>
      <c r="N50" s="6">
        <v>44782</v>
      </c>
      <c r="O50" s="6">
        <v>44926</v>
      </c>
      <c r="P50" s="1" t="s">
        <v>1674</v>
      </c>
    </row>
    <row r="51" spans="1:16" hidden="1">
      <c r="A51" s="4">
        <v>134</v>
      </c>
      <c r="B51" s="2" t="str">
        <f>HYPERLINK("https://my.zakupki.prom.ua/remote/dispatcher/state_purchase_view/37664638", "UA-2022-09-23-004997-a")</f>
        <v>UA-2022-09-23-004997-a</v>
      </c>
      <c r="C51" s="2" t="s">
        <v>1276</v>
      </c>
      <c r="D51" s="2" t="str">
        <f>HYPERLINK("https://my.zakupki.prom.ua/remote/dispatcher/state_contracting_view/14121989", "UA-2022-09-23-004997-a-b1")</f>
        <v>UA-2022-09-23-004997-a-b1</v>
      </c>
      <c r="E51" s="1" t="s">
        <v>968</v>
      </c>
      <c r="F51" s="1" t="s">
        <v>1409</v>
      </c>
      <c r="G51" s="1" t="s">
        <v>1409</v>
      </c>
      <c r="H51" s="1" t="s">
        <v>613</v>
      </c>
      <c r="I51" s="1" t="s">
        <v>1175</v>
      </c>
      <c r="J51" s="1" t="s">
        <v>1202</v>
      </c>
      <c r="K51" s="1" t="s">
        <v>289</v>
      </c>
      <c r="L51" s="1" t="s">
        <v>105</v>
      </c>
      <c r="M51" s="5">
        <v>1100</v>
      </c>
      <c r="N51" s="6">
        <v>44825</v>
      </c>
      <c r="O51" s="6">
        <v>44926</v>
      </c>
      <c r="P51" s="1" t="s">
        <v>1674</v>
      </c>
    </row>
    <row r="52" spans="1:16" hidden="1">
      <c r="A52" s="4">
        <v>135</v>
      </c>
      <c r="B52" s="2" t="str">
        <f>HYPERLINK("https://my.zakupki.prom.ua/remote/dispatcher/state_purchase_view/34885275", "UA-2022-02-07-004211-b")</f>
        <v>UA-2022-02-07-004211-b</v>
      </c>
      <c r="C52" s="2" t="s">
        <v>1276</v>
      </c>
      <c r="D52" s="2" t="str">
        <f>HYPERLINK("https://my.zakupki.prom.ua/remote/dispatcher/state_contracting_view/12751511", "UA-2022-02-07-004211-b-b1")</f>
        <v>UA-2022-02-07-004211-b-b1</v>
      </c>
      <c r="E52" s="1" t="s">
        <v>384</v>
      </c>
      <c r="F52" s="1" t="s">
        <v>1082</v>
      </c>
      <c r="G52" s="1" t="s">
        <v>1082</v>
      </c>
      <c r="H52" s="1" t="s">
        <v>778</v>
      </c>
      <c r="I52" s="1" t="s">
        <v>1175</v>
      </c>
      <c r="J52" s="1" t="s">
        <v>1294</v>
      </c>
      <c r="K52" s="1" t="s">
        <v>293</v>
      </c>
      <c r="L52" s="1" t="s">
        <v>80</v>
      </c>
      <c r="M52" s="5">
        <v>6400</v>
      </c>
      <c r="N52" s="6">
        <v>44596</v>
      </c>
      <c r="O52" s="6">
        <v>44926</v>
      </c>
      <c r="P52" s="1" t="s">
        <v>1674</v>
      </c>
    </row>
    <row r="53" spans="1:16" hidden="1">
      <c r="A53" s="4">
        <v>136</v>
      </c>
      <c r="B53" s="2" t="str">
        <f>HYPERLINK("https://my.zakupki.prom.ua/remote/dispatcher/state_purchase_view/35760658", "UA-2022-03-26-000220-b")</f>
        <v>UA-2022-03-26-000220-b</v>
      </c>
      <c r="C53" s="2" t="s">
        <v>1276</v>
      </c>
      <c r="D53" s="2" t="str">
        <f>HYPERLINK("https://my.zakupki.prom.ua/remote/dispatcher/state_contracting_view/13182501", "UA-2022-03-26-000220-b-b1")</f>
        <v>UA-2022-03-26-000220-b-b1</v>
      </c>
      <c r="E53" s="1" t="s">
        <v>946</v>
      </c>
      <c r="F53" s="1" t="s">
        <v>1537</v>
      </c>
      <c r="G53" s="1" t="s">
        <v>1536</v>
      </c>
      <c r="H53" s="1" t="s">
        <v>655</v>
      </c>
      <c r="I53" s="1" t="s">
        <v>1175</v>
      </c>
      <c r="J53" s="1" t="s">
        <v>1138</v>
      </c>
      <c r="K53" s="1" t="s">
        <v>383</v>
      </c>
      <c r="L53" s="1" t="s">
        <v>122</v>
      </c>
      <c r="M53" s="5">
        <v>26900</v>
      </c>
      <c r="N53" s="6">
        <v>44645</v>
      </c>
      <c r="O53" s="6">
        <v>44926</v>
      </c>
      <c r="P53" s="1" t="s">
        <v>1674</v>
      </c>
    </row>
    <row r="54" spans="1:16" hidden="1">
      <c r="A54" s="4">
        <v>137</v>
      </c>
      <c r="B54" s="2" t="str">
        <f>HYPERLINK("https://my.zakupki.prom.ua/remote/dispatcher/state_purchase_view/35783734", "UA-2022-03-29-004178-b")</f>
        <v>UA-2022-03-29-004178-b</v>
      </c>
      <c r="C54" s="2" t="s">
        <v>1276</v>
      </c>
      <c r="D54" s="2" t="str">
        <f>HYPERLINK("https://my.zakupki.prom.ua/remote/dispatcher/state_contracting_view/13194952", "UA-2022-03-29-004178-b-b1")</f>
        <v>UA-2022-03-29-004178-b-b1</v>
      </c>
      <c r="E54" s="1" t="s">
        <v>911</v>
      </c>
      <c r="F54" s="1" t="s">
        <v>1485</v>
      </c>
      <c r="G54" s="1" t="s">
        <v>1485</v>
      </c>
      <c r="H54" s="1" t="s">
        <v>609</v>
      </c>
      <c r="I54" s="1" t="s">
        <v>1175</v>
      </c>
      <c r="J54" s="1" t="s">
        <v>1202</v>
      </c>
      <c r="K54" s="1" t="s">
        <v>289</v>
      </c>
      <c r="L54" s="1" t="s">
        <v>413</v>
      </c>
      <c r="M54" s="5">
        <v>4281</v>
      </c>
      <c r="N54" s="6">
        <v>44649</v>
      </c>
      <c r="O54" s="6">
        <v>44926</v>
      </c>
      <c r="P54" s="1" t="s">
        <v>1674</v>
      </c>
    </row>
    <row r="55" spans="1:16" hidden="1">
      <c r="A55" s="4">
        <v>138</v>
      </c>
      <c r="B55" s="2" t="str">
        <f>HYPERLINK("https://my.zakupki.prom.ua/remote/dispatcher/state_purchase_view/37668878", "UA-2022-09-23-007292-a")</f>
        <v>UA-2022-09-23-007292-a</v>
      </c>
      <c r="C55" s="2" t="s">
        <v>1276</v>
      </c>
      <c r="D55" s="2" t="str">
        <f>HYPERLINK("https://my.zakupki.prom.ua/remote/dispatcher/state_contracting_view/14124250", "UA-2022-09-23-007292-a-a1")</f>
        <v>UA-2022-09-23-007292-a-a1</v>
      </c>
      <c r="E55" s="1" t="s">
        <v>77</v>
      </c>
      <c r="F55" s="1" t="s">
        <v>1438</v>
      </c>
      <c r="G55" s="1" t="s">
        <v>1438</v>
      </c>
      <c r="H55" s="1" t="s">
        <v>626</v>
      </c>
      <c r="I55" s="1" t="s">
        <v>1175</v>
      </c>
      <c r="J55" s="1" t="s">
        <v>1202</v>
      </c>
      <c r="K55" s="1" t="s">
        <v>289</v>
      </c>
      <c r="L55" s="1" t="s">
        <v>106</v>
      </c>
      <c r="M55" s="5">
        <v>6228</v>
      </c>
      <c r="N55" s="6">
        <v>44825</v>
      </c>
      <c r="O55" s="6">
        <v>44926</v>
      </c>
      <c r="P55" s="1" t="s">
        <v>1674</v>
      </c>
    </row>
    <row r="56" spans="1:16" hidden="1">
      <c r="A56" s="4">
        <v>139</v>
      </c>
      <c r="B56" s="2" t="str">
        <f>HYPERLINK("https://my.zakupki.prom.ua/remote/dispatcher/state_purchase_view/37658050", "UA-2022-09-23-001496-a")</f>
        <v>UA-2022-09-23-001496-a</v>
      </c>
      <c r="C56" s="2" t="s">
        <v>1276</v>
      </c>
      <c r="D56" s="2" t="str">
        <f>HYPERLINK("https://my.zakupki.prom.ua/remote/dispatcher/state_contracting_view/14118763", "UA-2022-09-23-001496-a-a1")</f>
        <v>UA-2022-09-23-001496-a-a1</v>
      </c>
      <c r="E56" s="1" t="s">
        <v>665</v>
      </c>
      <c r="F56" s="1" t="s">
        <v>1393</v>
      </c>
      <c r="G56" s="1" t="s">
        <v>1393</v>
      </c>
      <c r="H56" s="1" t="s">
        <v>608</v>
      </c>
      <c r="I56" s="1" t="s">
        <v>1175</v>
      </c>
      <c r="J56" s="1" t="s">
        <v>1604</v>
      </c>
      <c r="K56" s="1" t="s">
        <v>359</v>
      </c>
      <c r="L56" s="1" t="s">
        <v>451</v>
      </c>
      <c r="M56" s="5">
        <v>420</v>
      </c>
      <c r="N56" s="6">
        <v>44825</v>
      </c>
      <c r="O56" s="6">
        <v>44926</v>
      </c>
      <c r="P56" s="1" t="s">
        <v>1674</v>
      </c>
    </row>
    <row r="57" spans="1:16" hidden="1">
      <c r="A57" s="4">
        <v>140</v>
      </c>
      <c r="B57" s="2" t="str">
        <f>HYPERLINK("https://my.zakupki.prom.ua/remote/dispatcher/state_purchase_view/36912831", "UA-2022-08-03-007004-a")</f>
        <v>UA-2022-08-03-007004-a</v>
      </c>
      <c r="C57" s="2" t="s">
        <v>1276</v>
      </c>
      <c r="D57" s="2" t="str">
        <f>HYPERLINK("https://my.zakupki.prom.ua/remote/dispatcher/state_contracting_view/13758216", "UA-2022-08-03-007004-a-b1")</f>
        <v>UA-2022-08-03-007004-a-b1</v>
      </c>
      <c r="E57" s="1" t="s">
        <v>422</v>
      </c>
      <c r="F57" s="1" t="s">
        <v>1320</v>
      </c>
      <c r="G57" s="1" t="s">
        <v>1320</v>
      </c>
      <c r="H57" s="1" t="s">
        <v>776</v>
      </c>
      <c r="I57" s="1" t="s">
        <v>1175</v>
      </c>
      <c r="J57" s="1" t="s">
        <v>1289</v>
      </c>
      <c r="K57" s="1" t="s">
        <v>398</v>
      </c>
      <c r="L57" s="1" t="s">
        <v>790</v>
      </c>
      <c r="M57" s="5">
        <v>1000</v>
      </c>
      <c r="N57" s="6">
        <v>44774</v>
      </c>
      <c r="O57" s="6">
        <v>44926</v>
      </c>
      <c r="P57" s="1" t="s">
        <v>1674</v>
      </c>
    </row>
    <row r="58" spans="1:16" hidden="1">
      <c r="A58" s="4">
        <v>141</v>
      </c>
      <c r="B58" s="2" t="str">
        <f>HYPERLINK("https://my.zakupki.prom.ua/remote/dispatcher/state_purchase_view/37891625", "UA-2022-10-07-010526-a")</f>
        <v>UA-2022-10-07-010526-a</v>
      </c>
      <c r="C58" s="2" t="s">
        <v>1276</v>
      </c>
      <c r="D58" s="2" t="str">
        <f>HYPERLINK("https://my.zakupki.prom.ua/remote/dispatcher/state_contracting_view/14233796", "UA-2022-10-07-010526-a-c1")</f>
        <v>UA-2022-10-07-010526-a-c1</v>
      </c>
      <c r="E58" s="1" t="s">
        <v>883</v>
      </c>
      <c r="F58" s="1" t="s">
        <v>1243</v>
      </c>
      <c r="G58" s="1" t="s">
        <v>1243</v>
      </c>
      <c r="H58" s="1" t="s">
        <v>633</v>
      </c>
      <c r="I58" s="1" t="s">
        <v>1175</v>
      </c>
      <c r="J58" s="1" t="s">
        <v>1197</v>
      </c>
      <c r="K58" s="1" t="s">
        <v>437</v>
      </c>
      <c r="L58" s="1" t="s">
        <v>199</v>
      </c>
      <c r="M58" s="5">
        <v>2739.29</v>
      </c>
      <c r="N58" s="6">
        <v>44841</v>
      </c>
      <c r="O58" s="6">
        <v>44926</v>
      </c>
      <c r="P58" s="1" t="s">
        <v>1674</v>
      </c>
    </row>
    <row r="59" spans="1:16" hidden="1">
      <c r="A59" s="4">
        <v>142</v>
      </c>
      <c r="B59" s="2" t="str">
        <f>HYPERLINK("https://my.zakupki.prom.ua/remote/dispatcher/state_purchase_view/38038761", "UA-2022-10-18-011319-a")</f>
        <v>UA-2022-10-18-011319-a</v>
      </c>
      <c r="C59" s="2" t="s">
        <v>1276</v>
      </c>
      <c r="D59" s="2" t="str">
        <f>HYPERLINK("https://my.zakupki.prom.ua/remote/dispatcher/state_contracting_view/14306006", "UA-2022-10-18-011319-a-c1")</f>
        <v>UA-2022-10-18-011319-a-c1</v>
      </c>
      <c r="E59" s="1" t="s">
        <v>267</v>
      </c>
      <c r="F59" s="1" t="s">
        <v>1506</v>
      </c>
      <c r="G59" s="1" t="s">
        <v>1506</v>
      </c>
      <c r="H59" s="1" t="s">
        <v>229</v>
      </c>
      <c r="I59" s="1" t="s">
        <v>1175</v>
      </c>
      <c r="J59" s="1" t="s">
        <v>1075</v>
      </c>
      <c r="K59" s="1" t="s">
        <v>403</v>
      </c>
      <c r="L59" s="1" t="s">
        <v>701</v>
      </c>
      <c r="M59" s="5">
        <v>26700</v>
      </c>
      <c r="N59" s="6">
        <v>44851</v>
      </c>
      <c r="O59" s="6">
        <v>44926</v>
      </c>
      <c r="P59" s="1" t="s">
        <v>1674</v>
      </c>
    </row>
    <row r="60" spans="1:16" hidden="1">
      <c r="A60" s="4">
        <v>143</v>
      </c>
      <c r="B60" s="2" t="str">
        <f>HYPERLINK("https://my.zakupki.prom.ua/remote/dispatcher/state_purchase_view/39220675", "UA-2022-12-10-000485-a")</f>
        <v>UA-2022-12-10-000485-a</v>
      </c>
      <c r="C60" s="2" t="s">
        <v>1276</v>
      </c>
      <c r="D60" s="2" t="str">
        <f>HYPERLINK("https://my.zakupki.prom.ua/remote/dispatcher/state_contracting_view/14862033", "UA-2022-12-10-000485-a-b1")</f>
        <v>UA-2022-12-10-000485-a-b1</v>
      </c>
      <c r="E60" s="1" t="s">
        <v>1060</v>
      </c>
      <c r="F60" s="1" t="s">
        <v>1557</v>
      </c>
      <c r="G60" s="1" t="s">
        <v>1557</v>
      </c>
      <c r="H60" s="1" t="s">
        <v>757</v>
      </c>
      <c r="I60" s="1" t="s">
        <v>1175</v>
      </c>
      <c r="J60" s="1" t="s">
        <v>1665</v>
      </c>
      <c r="K60" s="1" t="s">
        <v>394</v>
      </c>
      <c r="L60" s="1" t="s">
        <v>546</v>
      </c>
      <c r="M60" s="5">
        <v>2000</v>
      </c>
      <c r="N60" s="6">
        <v>44904</v>
      </c>
      <c r="O60" s="6">
        <v>44926</v>
      </c>
      <c r="P60" s="1" t="s">
        <v>1674</v>
      </c>
    </row>
    <row r="61" spans="1:16" hidden="1">
      <c r="A61" s="4">
        <v>144</v>
      </c>
      <c r="B61" s="2" t="str">
        <f>HYPERLINK("https://my.zakupki.prom.ua/remote/dispatcher/state_purchase_view/39191317", "UA-2022-12-09-007785-a")</f>
        <v>UA-2022-12-09-007785-a</v>
      </c>
      <c r="C61" s="2" t="s">
        <v>1276</v>
      </c>
      <c r="D61" s="2" t="str">
        <f>HYPERLINK("https://my.zakupki.prom.ua/remote/dispatcher/state_contracting_view/14848425", "UA-2022-12-09-007785-a-b1")</f>
        <v>UA-2022-12-09-007785-a-b1</v>
      </c>
      <c r="E61" s="1" t="s">
        <v>893</v>
      </c>
      <c r="F61" s="1" t="s">
        <v>1576</v>
      </c>
      <c r="G61" s="1" t="s">
        <v>1576</v>
      </c>
      <c r="H61" s="1" t="s">
        <v>440</v>
      </c>
      <c r="I61" s="1" t="s">
        <v>1175</v>
      </c>
      <c r="J61" s="1" t="s">
        <v>1193</v>
      </c>
      <c r="K61" s="1" t="s">
        <v>251</v>
      </c>
      <c r="L61" s="1" t="s">
        <v>392</v>
      </c>
      <c r="M61" s="5">
        <v>6068</v>
      </c>
      <c r="N61" s="6">
        <v>44903</v>
      </c>
      <c r="O61" s="6">
        <v>44926</v>
      </c>
      <c r="P61" s="1" t="s">
        <v>1674</v>
      </c>
    </row>
    <row r="62" spans="1:16" hidden="1">
      <c r="A62" s="4">
        <v>145</v>
      </c>
      <c r="B62" s="2" t="str">
        <f>HYPERLINK("https://my.zakupki.prom.ua/remote/dispatcher/state_purchase_view/36246676", "UA-2022-05-31-002293-a")</f>
        <v>UA-2022-05-31-002293-a</v>
      </c>
      <c r="C62" s="2" t="s">
        <v>1276</v>
      </c>
      <c r="D62" s="2" t="str">
        <f>HYPERLINK("https://my.zakupki.prom.ua/remote/dispatcher/state_contracting_view/13433891", "UA-2022-05-31-002293-a-b1")</f>
        <v>UA-2022-05-31-002293-a-b1</v>
      </c>
      <c r="E62" s="1" t="s">
        <v>821</v>
      </c>
      <c r="F62" s="1" t="s">
        <v>1255</v>
      </c>
      <c r="G62" s="1" t="s">
        <v>1255</v>
      </c>
      <c r="H62" s="1" t="s">
        <v>828</v>
      </c>
      <c r="I62" s="1" t="s">
        <v>1175</v>
      </c>
      <c r="J62" s="1" t="s">
        <v>1197</v>
      </c>
      <c r="K62" s="1" t="s">
        <v>437</v>
      </c>
      <c r="L62" s="1" t="s">
        <v>1151</v>
      </c>
      <c r="M62" s="5">
        <v>156.12</v>
      </c>
      <c r="N62" s="6">
        <v>44711</v>
      </c>
      <c r="O62" s="6">
        <v>44926</v>
      </c>
      <c r="P62" s="1" t="s">
        <v>1674</v>
      </c>
    </row>
    <row r="63" spans="1:16" hidden="1">
      <c r="A63" s="4">
        <v>146</v>
      </c>
      <c r="B63" s="2" t="str">
        <f>HYPERLINK("https://my.zakupki.prom.ua/remote/dispatcher/state_purchase_view/36662729", "UA-2022-07-13-004145-a")</f>
        <v>UA-2022-07-13-004145-a</v>
      </c>
      <c r="C63" s="2" t="s">
        <v>1276</v>
      </c>
      <c r="D63" s="2" t="str">
        <f>HYPERLINK("https://my.zakupki.prom.ua/remote/dispatcher/state_contracting_view/13641062", "UA-2022-07-13-004145-a-b1")</f>
        <v>UA-2022-07-13-004145-a-b1</v>
      </c>
      <c r="E63" s="1" t="s">
        <v>683</v>
      </c>
      <c r="F63" s="1" t="s">
        <v>1419</v>
      </c>
      <c r="G63" s="1" t="s">
        <v>1419</v>
      </c>
      <c r="H63" s="1" t="s">
        <v>256</v>
      </c>
      <c r="I63" s="1" t="s">
        <v>1175</v>
      </c>
      <c r="J63" s="1" t="s">
        <v>1604</v>
      </c>
      <c r="K63" s="1" t="s">
        <v>359</v>
      </c>
      <c r="L63" s="1" t="s">
        <v>349</v>
      </c>
      <c r="M63" s="5">
        <v>98</v>
      </c>
      <c r="N63" s="6">
        <v>44753</v>
      </c>
      <c r="O63" s="6">
        <v>44926</v>
      </c>
      <c r="P63" s="1" t="s">
        <v>1674</v>
      </c>
    </row>
    <row r="64" spans="1:16" hidden="1">
      <c r="A64" s="4">
        <v>147</v>
      </c>
      <c r="B64" s="2" t="str">
        <f>HYPERLINK("https://my.zakupki.prom.ua/remote/dispatcher/state_purchase_view/38675480", "UA-2022-11-19-000527-a")</f>
        <v>UA-2022-11-19-000527-a</v>
      </c>
      <c r="C64" s="2" t="s">
        <v>1276</v>
      </c>
      <c r="D64" s="2" t="str">
        <f>HYPERLINK("https://my.zakupki.prom.ua/remote/dispatcher/state_contracting_view/14611752", "UA-2022-11-19-000527-a-a1")</f>
        <v>UA-2022-11-19-000527-a-a1</v>
      </c>
      <c r="E64" s="1" t="s">
        <v>490</v>
      </c>
      <c r="F64" s="1" t="s">
        <v>1541</v>
      </c>
      <c r="G64" s="1" t="s">
        <v>1541</v>
      </c>
      <c r="H64" s="1" t="s">
        <v>760</v>
      </c>
      <c r="I64" s="1" t="s">
        <v>1175</v>
      </c>
      <c r="J64" s="1" t="s">
        <v>1292</v>
      </c>
      <c r="K64" s="1" t="s">
        <v>535</v>
      </c>
      <c r="L64" s="1" t="s">
        <v>552</v>
      </c>
      <c r="M64" s="5">
        <v>4800</v>
      </c>
      <c r="N64" s="6">
        <v>44883</v>
      </c>
      <c r="O64" s="6">
        <v>44926</v>
      </c>
      <c r="P64" s="1" t="s">
        <v>1674</v>
      </c>
    </row>
    <row r="65" spans="1:16" hidden="1">
      <c r="A65" s="4">
        <v>148</v>
      </c>
      <c r="B65" s="2" t="str">
        <f>HYPERLINK("https://my.zakupki.prom.ua/remote/dispatcher/state_purchase_view/38496538", "UA-2022-11-11-000927-a")</f>
        <v>UA-2022-11-11-000927-a</v>
      </c>
      <c r="C65" s="2" t="s">
        <v>1276</v>
      </c>
      <c r="D65" s="2" t="str">
        <f>HYPERLINK("https://my.zakupki.prom.ua/remote/dispatcher/state_contracting_view/14529037", "UA-2022-11-11-000927-a-b1")</f>
        <v>UA-2022-11-11-000927-a-b1</v>
      </c>
      <c r="E65" s="1" t="s">
        <v>381</v>
      </c>
      <c r="F65" s="1" t="s">
        <v>1407</v>
      </c>
      <c r="G65" s="1" t="s">
        <v>1407</v>
      </c>
      <c r="H65" s="1" t="s">
        <v>440</v>
      </c>
      <c r="I65" s="1" t="s">
        <v>1175</v>
      </c>
      <c r="J65" s="1" t="s">
        <v>1193</v>
      </c>
      <c r="K65" s="1" t="s">
        <v>251</v>
      </c>
      <c r="L65" s="1" t="s">
        <v>310</v>
      </c>
      <c r="M65" s="5">
        <v>6000</v>
      </c>
      <c r="N65" s="6">
        <v>44875</v>
      </c>
      <c r="O65" s="6">
        <v>44926</v>
      </c>
      <c r="P65" s="1" t="s">
        <v>1674</v>
      </c>
    </row>
    <row r="66" spans="1:16" hidden="1">
      <c r="A66" s="4">
        <v>149</v>
      </c>
      <c r="B66" s="2" t="str">
        <f>HYPERLINK("https://my.zakupki.prom.ua/remote/dispatcher/state_purchase_view/36245173", "UA-2022-05-31-001478-a")</f>
        <v>UA-2022-05-31-001478-a</v>
      </c>
      <c r="C66" s="2" t="s">
        <v>1276</v>
      </c>
      <c r="D66" s="2" t="str">
        <f>HYPERLINK("https://my.zakupki.prom.ua/remote/dispatcher/state_contracting_view/13433174", "UA-2022-05-31-001478-a-b1")</f>
        <v>UA-2022-05-31-001478-a-b1</v>
      </c>
      <c r="E66" s="1" t="s">
        <v>959</v>
      </c>
      <c r="F66" s="1" t="s">
        <v>1383</v>
      </c>
      <c r="G66" s="1" t="s">
        <v>1383</v>
      </c>
      <c r="H66" s="1" t="s">
        <v>110</v>
      </c>
      <c r="I66" s="1" t="s">
        <v>1175</v>
      </c>
      <c r="J66" s="1" t="s">
        <v>1197</v>
      </c>
      <c r="K66" s="1" t="s">
        <v>437</v>
      </c>
      <c r="L66" s="1" t="s">
        <v>1150</v>
      </c>
      <c r="M66" s="5">
        <v>7495.54</v>
      </c>
      <c r="N66" s="6">
        <v>44711</v>
      </c>
      <c r="O66" s="6">
        <v>44926</v>
      </c>
      <c r="P66" s="1" t="s">
        <v>1674</v>
      </c>
    </row>
    <row r="67" spans="1:16" hidden="1">
      <c r="A67" s="4">
        <v>150</v>
      </c>
      <c r="B67" s="2" t="str">
        <f>HYPERLINK("https://my.zakupki.prom.ua/remote/dispatcher/state_purchase_view/37015412", "UA-2022-08-10-009623-a")</f>
        <v>UA-2022-08-10-009623-a</v>
      </c>
      <c r="C67" s="2" t="s">
        <v>1276</v>
      </c>
      <c r="D67" s="2" t="str">
        <f>HYPERLINK("https://my.zakupki.prom.ua/remote/dispatcher/state_contracting_view/13806736", "UA-2022-08-10-009623-a-b1")</f>
        <v>UA-2022-08-10-009623-a-b1</v>
      </c>
      <c r="E67" s="1" t="s">
        <v>936</v>
      </c>
      <c r="F67" s="1" t="s">
        <v>1429</v>
      </c>
      <c r="G67" s="1" t="s">
        <v>1429</v>
      </c>
      <c r="H67" s="1" t="s">
        <v>622</v>
      </c>
      <c r="I67" s="1" t="s">
        <v>1175</v>
      </c>
      <c r="J67" s="1" t="s">
        <v>1604</v>
      </c>
      <c r="K67" s="1" t="s">
        <v>359</v>
      </c>
      <c r="L67" s="1" t="s">
        <v>338</v>
      </c>
      <c r="M67" s="5">
        <v>438</v>
      </c>
      <c r="N67" s="6">
        <v>44782</v>
      </c>
      <c r="O67" s="6">
        <v>44926</v>
      </c>
      <c r="P67" s="1" t="s">
        <v>1674</v>
      </c>
    </row>
    <row r="68" spans="1:16" hidden="1">
      <c r="A68" s="4">
        <v>151</v>
      </c>
      <c r="B68" s="2" t="str">
        <f>HYPERLINK("https://my.zakupki.prom.ua/remote/dispatcher/state_purchase_view/35586069", "UA-2022-03-07-000615-a")</f>
        <v>UA-2022-03-07-000615-a</v>
      </c>
      <c r="C68" s="2" t="s">
        <v>1276</v>
      </c>
      <c r="D68" s="2" t="str">
        <f>HYPERLINK("https://my.zakupki.prom.ua/remote/dispatcher/state_contracting_view/13088848", "UA-2022-03-07-000615-a-a1")</f>
        <v>UA-2022-03-07-000615-a-a1</v>
      </c>
      <c r="E68" s="1" t="s">
        <v>601</v>
      </c>
      <c r="F68" s="1" t="s">
        <v>1546</v>
      </c>
      <c r="G68" s="1" t="s">
        <v>1546</v>
      </c>
      <c r="H68" s="1" t="s">
        <v>759</v>
      </c>
      <c r="I68" s="1" t="s">
        <v>1175</v>
      </c>
      <c r="J68" s="1" t="s">
        <v>1643</v>
      </c>
      <c r="K68" s="1" t="s">
        <v>530</v>
      </c>
      <c r="L68" s="1" t="s">
        <v>360</v>
      </c>
      <c r="M68" s="5">
        <v>975</v>
      </c>
      <c r="N68" s="6">
        <v>44624</v>
      </c>
      <c r="O68" s="6">
        <v>44926</v>
      </c>
      <c r="P68" s="1" t="s">
        <v>1674</v>
      </c>
    </row>
    <row r="69" spans="1:16" hidden="1">
      <c r="A69" s="4">
        <v>152</v>
      </c>
      <c r="B69" s="2" t="str">
        <f>HYPERLINK("https://my.zakupki.prom.ua/remote/dispatcher/state_purchase_view/38418218", "UA-2022-11-08-007891-a")</f>
        <v>UA-2022-11-08-007891-a</v>
      </c>
      <c r="C69" s="2" t="s">
        <v>1276</v>
      </c>
      <c r="D69" s="2" t="str">
        <f>HYPERLINK("https://my.zakupki.prom.ua/remote/dispatcher/state_contracting_view/14492862", "UA-2022-11-08-007891-a-b1")</f>
        <v>UA-2022-11-08-007891-a-b1</v>
      </c>
      <c r="E69" s="1" t="s">
        <v>598</v>
      </c>
      <c r="F69" s="1" t="s">
        <v>1493</v>
      </c>
      <c r="G69" s="1" t="s">
        <v>1493</v>
      </c>
      <c r="H69" s="1" t="s">
        <v>256</v>
      </c>
      <c r="I69" s="1" t="s">
        <v>1175</v>
      </c>
      <c r="J69" s="1" t="s">
        <v>1604</v>
      </c>
      <c r="K69" s="1" t="s">
        <v>359</v>
      </c>
      <c r="L69" s="1" t="s">
        <v>506</v>
      </c>
      <c r="M69" s="5">
        <v>98</v>
      </c>
      <c r="N69" s="6">
        <v>44872</v>
      </c>
      <c r="O69" s="6">
        <v>44926</v>
      </c>
      <c r="P69" s="1" t="s">
        <v>1674</v>
      </c>
    </row>
    <row r="70" spans="1:16" hidden="1">
      <c r="A70" s="4">
        <v>153</v>
      </c>
      <c r="B70" s="2" t="str">
        <f>HYPERLINK("https://my.zakupki.prom.ua/remote/dispatcher/state_purchase_view/38152923", "UA-2022-10-25-007799-a")</f>
        <v>UA-2022-10-25-007799-a</v>
      </c>
      <c r="C70" s="2" t="s">
        <v>1276</v>
      </c>
      <c r="D70" s="2" t="str">
        <f>HYPERLINK("https://my.zakupki.prom.ua/remote/dispatcher/state_contracting_view/14365106", "UA-2022-10-25-007799-a-c1")</f>
        <v>UA-2022-10-25-007799-a-c1</v>
      </c>
      <c r="E70" s="1" t="s">
        <v>803</v>
      </c>
      <c r="F70" s="1" t="s">
        <v>1556</v>
      </c>
      <c r="G70" s="1" t="s">
        <v>1556</v>
      </c>
      <c r="H70" s="1" t="s">
        <v>756</v>
      </c>
      <c r="I70" s="1" t="s">
        <v>1175</v>
      </c>
      <c r="J70" s="1" t="s">
        <v>1665</v>
      </c>
      <c r="K70" s="1" t="s">
        <v>394</v>
      </c>
      <c r="L70" s="1" t="s">
        <v>519</v>
      </c>
      <c r="M70" s="5">
        <v>3000</v>
      </c>
      <c r="N70" s="6">
        <v>44858</v>
      </c>
      <c r="O70" s="6">
        <v>44926</v>
      </c>
      <c r="P70" s="1" t="s">
        <v>1674</v>
      </c>
    </row>
    <row r="71" spans="1:16" hidden="1">
      <c r="A71" s="4">
        <v>154</v>
      </c>
      <c r="B71" s="2" t="str">
        <f>HYPERLINK("https://my.zakupki.prom.ua/remote/dispatcher/state_purchase_view/38577595", "UA-2022-11-15-009030-a")</f>
        <v>UA-2022-11-15-009030-a</v>
      </c>
      <c r="C71" s="2" t="s">
        <v>1276</v>
      </c>
      <c r="D71" s="2" t="str">
        <f>HYPERLINK("https://my.zakupki.prom.ua/remote/dispatcher/state_contracting_view/14566095", "UA-2022-11-15-009030-a-c1")</f>
        <v>UA-2022-11-15-009030-a-c1</v>
      </c>
      <c r="E71" s="1" t="s">
        <v>773</v>
      </c>
      <c r="F71" s="1" t="s">
        <v>1493</v>
      </c>
      <c r="G71" s="1" t="s">
        <v>1493</v>
      </c>
      <c r="H71" s="1" t="s">
        <v>256</v>
      </c>
      <c r="I71" s="1" t="s">
        <v>1175</v>
      </c>
      <c r="J71" s="1" t="s">
        <v>1604</v>
      </c>
      <c r="K71" s="1" t="s">
        <v>359</v>
      </c>
      <c r="L71" s="1" t="s">
        <v>518</v>
      </c>
      <c r="M71" s="5">
        <v>184</v>
      </c>
      <c r="N71" s="6">
        <v>44880</v>
      </c>
      <c r="O71" s="6">
        <v>44926</v>
      </c>
      <c r="P71" s="1" t="s">
        <v>1674</v>
      </c>
    </row>
    <row r="72" spans="1:16" hidden="1">
      <c r="A72" s="4">
        <v>155</v>
      </c>
      <c r="B72" s="2" t="str">
        <f>HYPERLINK("https://my.zakupki.prom.ua/remote/dispatcher/state_purchase_view/34651052", "UA-2022-01-31-008674-b")</f>
        <v>UA-2022-01-31-008674-b</v>
      </c>
      <c r="C72" s="2" t="s">
        <v>1276</v>
      </c>
      <c r="D72" s="2" t="str">
        <f>HYPERLINK("https://my.zakupki.prom.ua/remote/dispatcher/state_contracting_view/12643589", "UA-2022-01-31-008674-b-b1")</f>
        <v>UA-2022-01-31-008674-b-b1</v>
      </c>
      <c r="E72" s="1" t="s">
        <v>689</v>
      </c>
      <c r="F72" s="1" t="s">
        <v>1597</v>
      </c>
      <c r="G72" s="1" t="s">
        <v>1596</v>
      </c>
      <c r="H72" s="1" t="s">
        <v>751</v>
      </c>
      <c r="I72" s="1" t="s">
        <v>1175</v>
      </c>
      <c r="J72" s="1" t="s">
        <v>1623</v>
      </c>
      <c r="K72" s="1" t="s">
        <v>478</v>
      </c>
      <c r="L72" s="1" t="s">
        <v>453</v>
      </c>
      <c r="M72" s="5">
        <v>39312</v>
      </c>
      <c r="N72" s="6">
        <v>44592</v>
      </c>
      <c r="O72" s="6">
        <v>44926</v>
      </c>
      <c r="P72" s="1" t="s">
        <v>1676</v>
      </c>
    </row>
    <row r="73" spans="1:16" hidden="1">
      <c r="A73" s="4">
        <v>156</v>
      </c>
      <c r="B73" s="2" t="str">
        <f>HYPERLINK("https://my.zakupki.prom.ua/remote/dispatcher/state_purchase_view/34658330", "UA-2022-01-31-010708-b")</f>
        <v>UA-2022-01-31-010708-b</v>
      </c>
      <c r="C73" s="2" t="s">
        <v>1276</v>
      </c>
      <c r="D73" s="2" t="str">
        <f>HYPERLINK("https://my.zakupki.prom.ua/remote/dispatcher/state_contracting_view/12644044", "UA-2022-01-31-010708-b-b1")</f>
        <v>UA-2022-01-31-010708-b-b1</v>
      </c>
      <c r="E73" s="1" t="s">
        <v>891</v>
      </c>
      <c r="F73" s="1" t="s">
        <v>1601</v>
      </c>
      <c r="G73" s="1" t="s">
        <v>1600</v>
      </c>
      <c r="H73" s="1" t="s">
        <v>751</v>
      </c>
      <c r="I73" s="1" t="s">
        <v>1175</v>
      </c>
      <c r="J73" s="1" t="s">
        <v>1216</v>
      </c>
      <c r="K73" s="1" t="s">
        <v>322</v>
      </c>
      <c r="L73" s="1" t="s">
        <v>452</v>
      </c>
      <c r="M73" s="5">
        <v>45356.18</v>
      </c>
      <c r="N73" s="6">
        <v>44592</v>
      </c>
      <c r="O73" s="6">
        <v>44926</v>
      </c>
      <c r="P73" s="1" t="s">
        <v>1674</v>
      </c>
    </row>
    <row r="74" spans="1:16" hidden="1">
      <c r="A74" s="4">
        <v>157</v>
      </c>
      <c r="B74" s="2" t="str">
        <f>HYPERLINK("https://my.zakupki.prom.ua/remote/dispatcher/state_purchase_view/35734650", "UA-2022-03-23-003801-b")</f>
        <v>UA-2022-03-23-003801-b</v>
      </c>
      <c r="C74" s="2" t="s">
        <v>1276</v>
      </c>
      <c r="D74" s="2" t="str">
        <f>HYPERLINK("https://my.zakupki.prom.ua/remote/dispatcher/state_contracting_view/13168964", "UA-2022-03-23-003801-b-b1")</f>
        <v>UA-2022-03-23-003801-b-b1</v>
      </c>
      <c r="E74" s="1" t="s">
        <v>887</v>
      </c>
      <c r="F74" s="1" t="s">
        <v>1421</v>
      </c>
      <c r="G74" s="1" t="s">
        <v>1421</v>
      </c>
      <c r="H74" s="1" t="s">
        <v>460</v>
      </c>
      <c r="I74" s="1" t="s">
        <v>1175</v>
      </c>
      <c r="J74" s="1" t="s">
        <v>1649</v>
      </c>
      <c r="K74" s="1" t="s">
        <v>230</v>
      </c>
      <c r="L74" s="1" t="s">
        <v>33</v>
      </c>
      <c r="M74" s="5">
        <v>2333</v>
      </c>
      <c r="N74" s="6">
        <v>44642</v>
      </c>
      <c r="O74" s="6">
        <v>44926</v>
      </c>
      <c r="P74" s="1" t="s">
        <v>1674</v>
      </c>
    </row>
    <row r="75" spans="1:16" hidden="1">
      <c r="A75" s="4">
        <v>158</v>
      </c>
      <c r="B75" s="2" t="str">
        <f>HYPERLINK("https://my.zakupki.prom.ua/remote/dispatcher/state_purchase_view/35064937", "UA-2022-02-10-012666-b")</f>
        <v>UA-2022-02-10-012666-b</v>
      </c>
      <c r="C75" s="2" t="s">
        <v>1276</v>
      </c>
      <c r="D75" s="2" t="str">
        <f>HYPERLINK("https://my.zakupki.prom.ua/remote/dispatcher/state_contracting_view/13058743", "UA-2022-02-10-012666-b-b1")</f>
        <v>UA-2022-02-10-012666-b-b1</v>
      </c>
      <c r="E75" s="1" t="s">
        <v>706</v>
      </c>
      <c r="F75" s="1" t="s">
        <v>1361</v>
      </c>
      <c r="G75" s="1" t="s">
        <v>1360</v>
      </c>
      <c r="H75" s="1" t="s">
        <v>109</v>
      </c>
      <c r="I75" s="1" t="s">
        <v>1610</v>
      </c>
      <c r="J75" s="1" t="s">
        <v>1621</v>
      </c>
      <c r="K75" s="1" t="s">
        <v>592</v>
      </c>
      <c r="L75" s="1" t="s">
        <v>636</v>
      </c>
      <c r="M75" s="5">
        <v>31866</v>
      </c>
      <c r="N75" s="6">
        <v>44617</v>
      </c>
      <c r="O75" s="6">
        <v>44926</v>
      </c>
      <c r="P75" s="1" t="s">
        <v>1676</v>
      </c>
    </row>
    <row r="76" spans="1:16" hidden="1">
      <c r="A76" s="4">
        <v>159</v>
      </c>
      <c r="B76" s="2" t="str">
        <f>HYPERLINK("https://my.zakupki.prom.ua/remote/dispatcher/state_purchase_view/34450166", "UA-2022-01-26-000805-b")</f>
        <v>UA-2022-01-26-000805-b</v>
      </c>
      <c r="C76" s="2" t="s">
        <v>1276</v>
      </c>
      <c r="D76" s="2" t="str">
        <f>HYPERLINK("https://my.zakupki.prom.ua/remote/dispatcher/state_contracting_view/12549305", "UA-2022-01-26-000805-b-b1")</f>
        <v>UA-2022-01-26-000805-b-b1</v>
      </c>
      <c r="E76" s="1" t="s">
        <v>906</v>
      </c>
      <c r="F76" s="1" t="s">
        <v>1342</v>
      </c>
      <c r="G76" s="1" t="s">
        <v>1341</v>
      </c>
      <c r="H76" s="1" t="s">
        <v>777</v>
      </c>
      <c r="I76" s="1" t="s">
        <v>1175</v>
      </c>
      <c r="J76" s="1" t="s">
        <v>1651</v>
      </c>
      <c r="K76" s="1" t="s">
        <v>581</v>
      </c>
      <c r="L76" s="1" t="s">
        <v>217</v>
      </c>
      <c r="M76" s="5">
        <v>6600</v>
      </c>
      <c r="N76" s="6">
        <v>44586</v>
      </c>
      <c r="O76" s="6">
        <v>44926</v>
      </c>
      <c r="P76" s="1" t="s">
        <v>1674</v>
      </c>
    </row>
    <row r="77" spans="1:16" hidden="1">
      <c r="A77" s="4">
        <v>160</v>
      </c>
      <c r="B77" s="2" t="str">
        <f>HYPERLINK("https://my.zakupki.prom.ua/remote/dispatcher/state_purchase_view/38997048", "UA-2022-12-02-015599-a")</f>
        <v>UA-2022-12-02-015599-a</v>
      </c>
      <c r="C77" s="2" t="s">
        <v>1276</v>
      </c>
      <c r="D77" s="2" t="str">
        <f>HYPERLINK("https://my.zakupki.prom.ua/remote/dispatcher/state_contracting_view/14759363", "UA-2022-12-02-015599-a-a1")</f>
        <v>UA-2022-12-02-015599-a-a1</v>
      </c>
      <c r="E77" s="1" t="s">
        <v>881</v>
      </c>
      <c r="F77" s="1" t="s">
        <v>1155</v>
      </c>
      <c r="G77" s="1" t="s">
        <v>1155</v>
      </c>
      <c r="H77" s="1" t="s">
        <v>717</v>
      </c>
      <c r="I77" s="1" t="s">
        <v>1175</v>
      </c>
      <c r="J77" s="1" t="s">
        <v>1290</v>
      </c>
      <c r="K77" s="1" t="s">
        <v>333</v>
      </c>
      <c r="L77" s="1" t="s">
        <v>157</v>
      </c>
      <c r="M77" s="5">
        <v>274.95</v>
      </c>
      <c r="N77" s="6">
        <v>44896</v>
      </c>
      <c r="O77" s="6">
        <v>44926</v>
      </c>
      <c r="P77" s="1" t="s">
        <v>1674</v>
      </c>
    </row>
    <row r="78" spans="1:16" hidden="1">
      <c r="A78" s="4">
        <v>161</v>
      </c>
      <c r="B78" s="2" t="str">
        <f>HYPERLINK("https://my.zakupki.prom.ua/remote/dispatcher/state_purchase_view/38700300", "UA-2022-11-21-010487-a")</f>
        <v>UA-2022-11-21-010487-a</v>
      </c>
      <c r="C78" s="2" t="s">
        <v>1276</v>
      </c>
      <c r="D78" s="2" t="str">
        <f>HYPERLINK("https://my.zakupki.prom.ua/remote/dispatcher/state_contracting_view/14623035", "UA-2022-11-21-010487-a-c1")</f>
        <v>UA-2022-11-21-010487-a-c1</v>
      </c>
      <c r="E78" s="1" t="s">
        <v>1063</v>
      </c>
      <c r="F78" s="1" t="s">
        <v>1279</v>
      </c>
      <c r="G78" s="1" t="s">
        <v>1279</v>
      </c>
      <c r="H78" s="1" t="s">
        <v>631</v>
      </c>
      <c r="I78" s="1" t="s">
        <v>1175</v>
      </c>
      <c r="J78" s="1" t="s">
        <v>1641</v>
      </c>
      <c r="K78" s="1" t="s">
        <v>584</v>
      </c>
      <c r="L78" s="1" t="s">
        <v>205</v>
      </c>
      <c r="M78" s="5">
        <v>2768342.2</v>
      </c>
      <c r="N78" s="6">
        <v>44881</v>
      </c>
      <c r="O78" s="6">
        <v>44926</v>
      </c>
      <c r="P78" s="1" t="s">
        <v>1674</v>
      </c>
    </row>
    <row r="79" spans="1:16" hidden="1">
      <c r="A79" s="4">
        <v>162</v>
      </c>
      <c r="B79" s="2" t="str">
        <f>HYPERLINK("https://my.zakupki.prom.ua/remote/dispatcher/state_purchase_view/34840191", "UA-2022-02-04-005802-b")</f>
        <v>UA-2022-02-04-005802-b</v>
      </c>
      <c r="C79" s="2" t="s">
        <v>1276</v>
      </c>
      <c r="D79" s="2" t="str">
        <f>HYPERLINK("https://my.zakupki.prom.ua/remote/dispatcher/state_contracting_view/12730034", "UA-2022-02-04-005802-b-b1")</f>
        <v>UA-2022-02-04-005802-b-b1</v>
      </c>
      <c r="E79" s="1" t="s">
        <v>1031</v>
      </c>
      <c r="F79" s="1" t="s">
        <v>1382</v>
      </c>
      <c r="G79" s="1" t="s">
        <v>1382</v>
      </c>
      <c r="H79" s="1" t="s">
        <v>110</v>
      </c>
      <c r="I79" s="1" t="s">
        <v>1175</v>
      </c>
      <c r="J79" s="1" t="s">
        <v>1197</v>
      </c>
      <c r="K79" s="1" t="s">
        <v>437</v>
      </c>
      <c r="L79" s="1" t="s">
        <v>791</v>
      </c>
      <c r="M79" s="5">
        <v>15013.88</v>
      </c>
      <c r="N79" s="6">
        <v>44594</v>
      </c>
      <c r="O79" s="6">
        <v>44926</v>
      </c>
      <c r="P79" s="1" t="s">
        <v>1674</v>
      </c>
    </row>
    <row r="80" spans="1:16" hidden="1">
      <c r="A80" s="4">
        <v>163</v>
      </c>
      <c r="B80" s="2" t="str">
        <f>HYPERLINK("https://my.zakupki.prom.ua/remote/dispatcher/state_purchase_view/38417032", "UA-2022-11-08-007288-a")</f>
        <v>UA-2022-11-08-007288-a</v>
      </c>
      <c r="C80" s="2" t="s">
        <v>1276</v>
      </c>
      <c r="D80" s="2" t="str">
        <f>HYPERLINK("https://my.zakupki.prom.ua/remote/dispatcher/state_contracting_view/14492123", "UA-2022-11-08-007288-a-b1")</f>
        <v>UA-2022-11-08-007288-a-b1</v>
      </c>
      <c r="E80" s="1" t="s">
        <v>864</v>
      </c>
      <c r="F80" s="1" t="s">
        <v>1497</v>
      </c>
      <c r="G80" s="1" t="s">
        <v>1497</v>
      </c>
      <c r="H80" s="1" t="s">
        <v>554</v>
      </c>
      <c r="I80" s="1" t="s">
        <v>1175</v>
      </c>
      <c r="J80" s="1" t="s">
        <v>1604</v>
      </c>
      <c r="K80" s="1" t="s">
        <v>359</v>
      </c>
      <c r="L80" s="1" t="s">
        <v>505</v>
      </c>
      <c r="M80" s="5">
        <v>534</v>
      </c>
      <c r="N80" s="6">
        <v>44872</v>
      </c>
      <c r="O80" s="6">
        <v>44926</v>
      </c>
      <c r="P80" s="1" t="s">
        <v>1674</v>
      </c>
    </row>
    <row r="81" spans="1:16" hidden="1">
      <c r="A81" s="4">
        <v>164</v>
      </c>
      <c r="B81" s="2" t="str">
        <f>HYPERLINK("https://my.zakupki.prom.ua/remote/dispatcher/state_purchase_view/37675958", "UA-2022-09-23-011152-a")</f>
        <v>UA-2022-09-23-011152-a</v>
      </c>
      <c r="C81" s="2" t="s">
        <v>1276</v>
      </c>
      <c r="D81" s="2" t="str">
        <f>HYPERLINK("https://my.zakupki.prom.ua/remote/dispatcher/state_contracting_view/14127879", "UA-2022-09-23-011152-a-b1")</f>
        <v>UA-2022-09-23-011152-a-b1</v>
      </c>
      <c r="E81" s="1" t="s">
        <v>638</v>
      </c>
      <c r="F81" s="1" t="s">
        <v>1569</v>
      </c>
      <c r="G81" s="1" t="s">
        <v>1569</v>
      </c>
      <c r="H81" s="1" t="s">
        <v>363</v>
      </c>
      <c r="I81" s="1" t="s">
        <v>1175</v>
      </c>
      <c r="J81" s="1" t="s">
        <v>1622</v>
      </c>
      <c r="K81" s="1" t="s">
        <v>446</v>
      </c>
      <c r="L81" s="1" t="s">
        <v>141</v>
      </c>
      <c r="M81" s="5">
        <v>5376</v>
      </c>
      <c r="N81" s="6">
        <v>44824</v>
      </c>
      <c r="O81" s="6">
        <v>44926</v>
      </c>
      <c r="P81" s="1" t="s">
        <v>1674</v>
      </c>
    </row>
    <row r="82" spans="1:16" hidden="1">
      <c r="A82" s="4">
        <v>165</v>
      </c>
      <c r="B82" s="2" t="str">
        <f>HYPERLINK("https://my.zakupki.prom.ua/remote/dispatcher/state_purchase_view/37653512", "UA-2022-09-22-011884-a")</f>
        <v>UA-2022-09-22-011884-a</v>
      </c>
      <c r="C82" s="2" t="s">
        <v>1276</v>
      </c>
      <c r="D82" s="2" t="str">
        <f>HYPERLINK("https://my.zakupki.prom.ua/remote/dispatcher/state_contracting_view/14116543", "UA-2022-09-22-011884-a-c1")</f>
        <v>UA-2022-09-22-011884-a-c1</v>
      </c>
      <c r="E82" s="1" t="s">
        <v>270</v>
      </c>
      <c r="F82" s="1" t="s">
        <v>1407</v>
      </c>
      <c r="G82" s="1" t="s">
        <v>1407</v>
      </c>
      <c r="H82" s="1" t="s">
        <v>440</v>
      </c>
      <c r="I82" s="1" t="s">
        <v>1175</v>
      </c>
      <c r="J82" s="1" t="s">
        <v>1193</v>
      </c>
      <c r="K82" s="1" t="s">
        <v>251</v>
      </c>
      <c r="L82" s="1" t="s">
        <v>107</v>
      </c>
      <c r="M82" s="5">
        <v>6000</v>
      </c>
      <c r="N82" s="6">
        <v>44825</v>
      </c>
      <c r="O82" s="6">
        <v>44926</v>
      </c>
      <c r="P82" s="1" t="s">
        <v>1674</v>
      </c>
    </row>
    <row r="83" spans="1:16" hidden="1">
      <c r="A83" s="4">
        <v>166</v>
      </c>
      <c r="B83" s="2" t="str">
        <f>HYPERLINK("https://my.zakupki.prom.ua/remote/dispatcher/state_purchase_view/38577053", "UA-2022-11-15-008793-a")</f>
        <v>UA-2022-11-15-008793-a</v>
      </c>
      <c r="C83" s="2" t="s">
        <v>1276</v>
      </c>
      <c r="D83" s="2" t="str">
        <f>HYPERLINK("https://my.zakupki.prom.ua/remote/dispatcher/state_contracting_view/14566042", "UA-2022-11-15-008793-a-b1")</f>
        <v>UA-2022-11-15-008793-a-b1</v>
      </c>
      <c r="E83" s="1" t="s">
        <v>1044</v>
      </c>
      <c r="F83" s="1" t="s">
        <v>1490</v>
      </c>
      <c r="G83" s="1" t="s">
        <v>1490</v>
      </c>
      <c r="H83" s="1" t="s">
        <v>363</v>
      </c>
      <c r="I83" s="1" t="s">
        <v>1175</v>
      </c>
      <c r="J83" s="1" t="s">
        <v>1604</v>
      </c>
      <c r="K83" s="1" t="s">
        <v>359</v>
      </c>
      <c r="L83" s="1" t="s">
        <v>516</v>
      </c>
      <c r="M83" s="5">
        <v>314</v>
      </c>
      <c r="N83" s="6">
        <v>44880</v>
      </c>
      <c r="O83" s="6">
        <v>44926</v>
      </c>
      <c r="P83" s="1" t="s">
        <v>1674</v>
      </c>
    </row>
    <row r="84" spans="1:16" hidden="1">
      <c r="A84" s="4">
        <v>167</v>
      </c>
      <c r="B84" s="2" t="str">
        <f>HYPERLINK("https://my.zakupki.prom.ua/remote/dispatcher/state_purchase_view/38576188", "UA-2022-11-15-008378-a")</f>
        <v>UA-2022-11-15-008378-a</v>
      </c>
      <c r="C84" s="2" t="s">
        <v>1276</v>
      </c>
      <c r="D84" s="2" t="str">
        <f>HYPERLINK("https://my.zakupki.prom.ua/remote/dispatcher/state_contracting_view/14565622", "UA-2022-11-15-008378-a-b1")</f>
        <v>UA-2022-11-15-008378-a-b1</v>
      </c>
      <c r="E84" s="1" t="s">
        <v>930</v>
      </c>
      <c r="F84" s="1" t="s">
        <v>1496</v>
      </c>
      <c r="G84" s="1" t="s">
        <v>1496</v>
      </c>
      <c r="H84" s="1" t="s">
        <v>501</v>
      </c>
      <c r="I84" s="1" t="s">
        <v>1175</v>
      </c>
      <c r="J84" s="1" t="s">
        <v>1604</v>
      </c>
      <c r="K84" s="1" t="s">
        <v>359</v>
      </c>
      <c r="L84" s="1" t="s">
        <v>515</v>
      </c>
      <c r="M84" s="5">
        <v>919.5</v>
      </c>
      <c r="N84" s="6">
        <v>44880</v>
      </c>
      <c r="O84" s="6">
        <v>44926</v>
      </c>
      <c r="P84" s="1" t="s">
        <v>1674</v>
      </c>
    </row>
    <row r="85" spans="1:16" hidden="1">
      <c r="A85" s="4">
        <v>168</v>
      </c>
      <c r="B85" s="2" t="str">
        <f>HYPERLINK("https://my.zakupki.prom.ua/remote/dispatcher/state_purchase_view/35783530", "UA-2022-03-29-004093-b")</f>
        <v>UA-2022-03-29-004093-b</v>
      </c>
      <c r="C85" s="2" t="s">
        <v>1276</v>
      </c>
      <c r="D85" s="2" t="str">
        <f>HYPERLINK("https://my.zakupki.prom.ua/remote/dispatcher/state_contracting_view/13194767", "UA-2022-03-29-004093-b-b1")</f>
        <v>UA-2022-03-29-004093-b-b1</v>
      </c>
      <c r="E85" s="1" t="s">
        <v>1036</v>
      </c>
      <c r="F85" s="1" t="s">
        <v>1409</v>
      </c>
      <c r="G85" s="1" t="s">
        <v>1409</v>
      </c>
      <c r="H85" s="1" t="s">
        <v>607</v>
      </c>
      <c r="I85" s="1" t="s">
        <v>1175</v>
      </c>
      <c r="J85" s="1" t="s">
        <v>1202</v>
      </c>
      <c r="K85" s="1" t="s">
        <v>289</v>
      </c>
      <c r="L85" s="1" t="s">
        <v>411</v>
      </c>
      <c r="M85" s="5">
        <v>4950</v>
      </c>
      <c r="N85" s="6">
        <v>44649</v>
      </c>
      <c r="O85" s="6">
        <v>44926</v>
      </c>
      <c r="P85" s="1" t="s">
        <v>1674</v>
      </c>
    </row>
    <row r="86" spans="1:16" hidden="1">
      <c r="A86" s="4">
        <v>169</v>
      </c>
      <c r="B86" s="2" t="str">
        <f>HYPERLINK("https://my.zakupki.prom.ua/remote/dispatcher/state_purchase_view/38038372", "UA-2022-10-18-011102-a")</f>
        <v>UA-2022-10-18-011102-a</v>
      </c>
      <c r="C86" s="2" t="s">
        <v>1276</v>
      </c>
      <c r="D86" s="2" t="str">
        <f>HYPERLINK("https://my.zakupki.prom.ua/remote/dispatcher/state_contracting_view/14305750", "UA-2022-10-18-011102-a-c1")</f>
        <v>UA-2022-10-18-011102-a-c1</v>
      </c>
      <c r="E86" s="1" t="s">
        <v>1030</v>
      </c>
      <c r="F86" s="1" t="s">
        <v>1504</v>
      </c>
      <c r="G86" s="1" t="s">
        <v>1504</v>
      </c>
      <c r="H86" s="1" t="s">
        <v>443</v>
      </c>
      <c r="I86" s="1" t="s">
        <v>1175</v>
      </c>
      <c r="J86" s="1" t="s">
        <v>1138</v>
      </c>
      <c r="K86" s="1" t="s">
        <v>383</v>
      </c>
      <c r="L86" s="1" t="s">
        <v>214</v>
      </c>
      <c r="M86" s="5">
        <v>47000</v>
      </c>
      <c r="N86" s="6">
        <v>44851</v>
      </c>
      <c r="O86" s="6">
        <v>44926</v>
      </c>
      <c r="P86" s="1" t="s">
        <v>1674</v>
      </c>
    </row>
    <row r="87" spans="1:16" hidden="1">
      <c r="A87" s="4">
        <v>170</v>
      </c>
      <c r="B87" s="2" t="str">
        <f>HYPERLINK("https://my.zakupki.prom.ua/remote/dispatcher/state_purchase_view/35018675", "UA-2022-02-09-015914-b")</f>
        <v>UA-2022-02-09-015914-b</v>
      </c>
      <c r="C87" s="2" t="s">
        <v>1276</v>
      </c>
      <c r="D87" s="2" t="str">
        <f>HYPERLINK("https://my.zakupki.prom.ua/remote/dispatcher/state_contracting_view/12813775", "UA-2022-02-09-015914-b-b1")</f>
        <v>UA-2022-02-09-015914-b-b1</v>
      </c>
      <c r="E87" s="1" t="s">
        <v>1026</v>
      </c>
      <c r="F87" s="1" t="s">
        <v>1609</v>
      </c>
      <c r="G87" s="1" t="s">
        <v>1609</v>
      </c>
      <c r="H87" s="1" t="s">
        <v>795</v>
      </c>
      <c r="I87" s="1" t="s">
        <v>1175</v>
      </c>
      <c r="J87" s="1" t="s">
        <v>1230</v>
      </c>
      <c r="K87" s="1" t="s">
        <v>391</v>
      </c>
      <c r="L87" s="1" t="s">
        <v>835</v>
      </c>
      <c r="M87" s="5">
        <v>7152</v>
      </c>
      <c r="N87" s="6">
        <v>44600</v>
      </c>
      <c r="O87" s="6">
        <v>44926</v>
      </c>
      <c r="P87" s="1" t="s">
        <v>1674</v>
      </c>
    </row>
    <row r="88" spans="1:16" hidden="1">
      <c r="A88" s="4">
        <v>171</v>
      </c>
      <c r="B88" s="2" t="str">
        <f>HYPERLINK("https://my.zakupki.prom.ua/remote/dispatcher/state_purchase_view/37546601", "UA-2022-09-16-003495-a")</f>
        <v>UA-2022-09-16-003495-a</v>
      </c>
      <c r="C88" s="2" t="s">
        <v>1276</v>
      </c>
      <c r="D88" s="2" t="str">
        <f>HYPERLINK("https://my.zakupki.prom.ua/remote/dispatcher/state_contracting_view/14064011", "UA-2022-09-16-003495-a-b1")</f>
        <v>UA-2022-09-16-003495-a-b1</v>
      </c>
      <c r="E88" s="1" t="s">
        <v>882</v>
      </c>
      <c r="F88" s="1" t="s">
        <v>1356</v>
      </c>
      <c r="G88" s="1" t="s">
        <v>1356</v>
      </c>
      <c r="H88" s="1" t="s">
        <v>109</v>
      </c>
      <c r="I88" s="1" t="s">
        <v>1175</v>
      </c>
      <c r="J88" s="1" t="s">
        <v>1636</v>
      </c>
      <c r="K88" s="1" t="s">
        <v>592</v>
      </c>
      <c r="L88" s="1" t="s">
        <v>636</v>
      </c>
      <c r="M88" s="5">
        <v>25920</v>
      </c>
      <c r="N88" s="6">
        <v>44820</v>
      </c>
      <c r="O88" s="6">
        <v>44926</v>
      </c>
      <c r="P88" s="1" t="s">
        <v>1674</v>
      </c>
    </row>
    <row r="89" spans="1:16" hidden="1">
      <c r="A89" s="4">
        <v>172</v>
      </c>
      <c r="B89" s="2" t="str">
        <f>HYPERLINK("https://my.zakupki.prom.ua/remote/dispatcher/state_purchase_view/35898872", "UA-2022-04-12-002921-b")</f>
        <v>UA-2022-04-12-002921-b</v>
      </c>
      <c r="C89" s="2" t="s">
        <v>1276</v>
      </c>
      <c r="D89" s="2" t="str">
        <f>HYPERLINK("https://my.zakupki.prom.ua/remote/dispatcher/state_contracting_view/13254530", "UA-2022-04-12-002921-b-b1")</f>
        <v>UA-2022-04-12-002921-b-b1</v>
      </c>
      <c r="E89" s="1" t="s">
        <v>1062</v>
      </c>
      <c r="F89" s="1" t="s">
        <v>1244</v>
      </c>
      <c r="G89" s="1" t="s">
        <v>1244</v>
      </c>
      <c r="H89" s="1" t="s">
        <v>757</v>
      </c>
      <c r="I89" s="1" t="s">
        <v>1175</v>
      </c>
      <c r="J89" s="1" t="s">
        <v>1217</v>
      </c>
      <c r="K89" s="1" t="s">
        <v>522</v>
      </c>
      <c r="L89" s="1" t="s">
        <v>493</v>
      </c>
      <c r="M89" s="5">
        <v>2735</v>
      </c>
      <c r="N89" s="6">
        <v>44662</v>
      </c>
      <c r="O89" s="6">
        <v>44926</v>
      </c>
      <c r="P89" s="1" t="s">
        <v>1674</v>
      </c>
    </row>
    <row r="90" spans="1:16" hidden="1">
      <c r="A90" s="4">
        <v>173</v>
      </c>
      <c r="B90" s="2" t="str">
        <f>HYPERLINK("https://my.zakupki.prom.ua/remote/dispatcher/state_purchase_view/36057299", "UA-2022-05-04-002697-a")</f>
        <v>UA-2022-05-04-002697-a</v>
      </c>
      <c r="C90" s="2" t="s">
        <v>1276</v>
      </c>
      <c r="D90" s="2" t="str">
        <f>HYPERLINK("https://my.zakupki.prom.ua/remote/dispatcher/state_contracting_view/13337179", "UA-2022-05-04-002697-a-a1")</f>
        <v>UA-2022-05-04-002697-a-a1</v>
      </c>
      <c r="E90" s="1" t="s">
        <v>753</v>
      </c>
      <c r="F90" s="1" t="s">
        <v>1282</v>
      </c>
      <c r="G90" s="1" t="s">
        <v>1282</v>
      </c>
      <c r="H90" s="1" t="s">
        <v>742</v>
      </c>
      <c r="I90" s="1" t="s">
        <v>1175</v>
      </c>
      <c r="J90" s="1" t="s">
        <v>1281</v>
      </c>
      <c r="K90" s="1" t="s">
        <v>12</v>
      </c>
      <c r="L90" s="1" t="s">
        <v>672</v>
      </c>
      <c r="M90" s="5">
        <v>21242.639999999999</v>
      </c>
      <c r="N90" s="6">
        <v>44683</v>
      </c>
      <c r="O90" s="6">
        <v>44926</v>
      </c>
      <c r="P90" s="1" t="s">
        <v>1674</v>
      </c>
    </row>
    <row r="91" spans="1:16" hidden="1">
      <c r="A91" s="4">
        <v>174</v>
      </c>
      <c r="B91" s="2" t="str">
        <f>HYPERLINK("https://my.zakupki.prom.ua/remote/dispatcher/state_purchase_view/37015092", "UA-2022-08-10-009435-a")</f>
        <v>UA-2022-08-10-009435-a</v>
      </c>
      <c r="C91" s="2" t="s">
        <v>1276</v>
      </c>
      <c r="D91" s="2" t="str">
        <f>HYPERLINK("https://my.zakupki.prom.ua/remote/dispatcher/state_contracting_view/13806604", "UA-2022-08-10-009435-a-b1")</f>
        <v>UA-2022-08-10-009435-a-b1</v>
      </c>
      <c r="E91" s="1" t="s">
        <v>832</v>
      </c>
      <c r="F91" s="1" t="s">
        <v>1489</v>
      </c>
      <c r="G91" s="1" t="s">
        <v>1489</v>
      </c>
      <c r="H91" s="1" t="s">
        <v>363</v>
      </c>
      <c r="I91" s="1" t="s">
        <v>1175</v>
      </c>
      <c r="J91" s="1" t="s">
        <v>1604</v>
      </c>
      <c r="K91" s="1" t="s">
        <v>359</v>
      </c>
      <c r="L91" s="1" t="s">
        <v>337</v>
      </c>
      <c r="M91" s="5">
        <v>134</v>
      </c>
      <c r="N91" s="6">
        <v>44782</v>
      </c>
      <c r="O91" s="6">
        <v>44926</v>
      </c>
      <c r="P91" s="1" t="s">
        <v>1674</v>
      </c>
    </row>
    <row r="92" spans="1:16" hidden="1">
      <c r="A92" s="4">
        <v>175</v>
      </c>
      <c r="B92" s="2" t="str">
        <f>HYPERLINK("https://my.zakupki.prom.ua/remote/dispatcher/state_purchase_view/39366400", "UA-2022-12-14-020842-a")</f>
        <v>UA-2022-12-14-020842-a</v>
      </c>
      <c r="C92" s="2" t="s">
        <v>1276</v>
      </c>
      <c r="D92" s="2" t="str">
        <f>HYPERLINK("https://my.zakupki.prom.ua/remote/dispatcher/state_contracting_view/14930376", "UA-2022-12-14-020842-a-b1")</f>
        <v>UA-2022-12-14-020842-a-b1</v>
      </c>
      <c r="E92" s="1" t="s">
        <v>1025</v>
      </c>
      <c r="F92" s="1" t="s">
        <v>1577</v>
      </c>
      <c r="G92" s="1" t="s">
        <v>1577</v>
      </c>
      <c r="H92" s="1" t="s">
        <v>467</v>
      </c>
      <c r="I92" s="1" t="s">
        <v>1175</v>
      </c>
      <c r="J92" s="1" t="s">
        <v>1604</v>
      </c>
      <c r="K92" s="1" t="s">
        <v>359</v>
      </c>
      <c r="L92" s="1" t="s">
        <v>580</v>
      </c>
      <c r="M92" s="5">
        <v>5950</v>
      </c>
      <c r="N92" s="6">
        <v>44909</v>
      </c>
      <c r="O92" s="6">
        <v>44926</v>
      </c>
      <c r="P92" s="1" t="s">
        <v>1674</v>
      </c>
    </row>
    <row r="93" spans="1:16" hidden="1">
      <c r="A93" s="4">
        <v>176</v>
      </c>
      <c r="B93" s="2" t="str">
        <f>HYPERLINK("https://my.zakupki.prom.ua/remote/dispatcher/state_purchase_view/35335400", "UA-2022-02-18-009743-b")</f>
        <v>UA-2022-02-18-009743-b</v>
      </c>
      <c r="C93" s="2" t="s">
        <v>1276</v>
      </c>
      <c r="D93" s="2" t="str">
        <f>HYPERLINK("https://my.zakupki.prom.ua/remote/dispatcher/state_contracting_view/12964207", "UA-2022-02-18-009743-b-b1")</f>
        <v>UA-2022-02-18-009743-b-b1</v>
      </c>
      <c r="E93" s="1" t="s">
        <v>90</v>
      </c>
      <c r="F93" s="1" t="s">
        <v>1352</v>
      </c>
      <c r="G93" s="1" t="s">
        <v>1352</v>
      </c>
      <c r="H93" s="1" t="s">
        <v>325</v>
      </c>
      <c r="I93" s="1" t="s">
        <v>1175</v>
      </c>
      <c r="J93" s="1" t="s">
        <v>1634</v>
      </c>
      <c r="K93" s="1" t="s">
        <v>526</v>
      </c>
      <c r="L93" s="1" t="s">
        <v>1218</v>
      </c>
      <c r="M93" s="5">
        <v>6000</v>
      </c>
      <c r="N93" s="6">
        <v>44608</v>
      </c>
      <c r="O93" s="6">
        <v>44926</v>
      </c>
      <c r="P93" s="1" t="s">
        <v>1674</v>
      </c>
    </row>
    <row r="94" spans="1:16" hidden="1">
      <c r="A94" s="4">
        <v>177</v>
      </c>
      <c r="B94" s="2" t="str">
        <f>HYPERLINK("https://my.zakupki.prom.ua/remote/dispatcher/state_purchase_view/35696410", "UA-2022-03-19-000072-a")</f>
        <v>UA-2022-03-19-000072-a</v>
      </c>
      <c r="C94" s="2" t="s">
        <v>1276</v>
      </c>
      <c r="D94" s="2" t="str">
        <f>HYPERLINK("https://my.zakupki.prom.ua/remote/dispatcher/state_contracting_view/13148862", "UA-2022-03-19-000072-a-a1")</f>
        <v>UA-2022-03-19-000072-a-a1</v>
      </c>
      <c r="E94" s="1" t="s">
        <v>685</v>
      </c>
      <c r="F94" s="1" t="s">
        <v>1481</v>
      </c>
      <c r="G94" s="1" t="s">
        <v>1481</v>
      </c>
      <c r="H94" s="1" t="s">
        <v>470</v>
      </c>
      <c r="I94" s="1" t="s">
        <v>1175</v>
      </c>
      <c r="J94" s="1" t="s">
        <v>1638</v>
      </c>
      <c r="K94" s="1" t="s">
        <v>488</v>
      </c>
      <c r="L94" s="1" t="s">
        <v>32</v>
      </c>
      <c r="M94" s="5">
        <v>4723.2</v>
      </c>
      <c r="N94" s="6">
        <v>44638</v>
      </c>
      <c r="O94" s="6">
        <v>44926</v>
      </c>
      <c r="P94" s="1" t="s">
        <v>1674</v>
      </c>
    </row>
    <row r="95" spans="1:16" hidden="1">
      <c r="A95" s="4">
        <v>178</v>
      </c>
      <c r="B95" s="2" t="str">
        <f>HYPERLINK("https://my.zakupki.prom.ua/remote/dispatcher/state_purchase_view/35929775", "UA-2022-04-15-000024-b")</f>
        <v>UA-2022-04-15-000024-b</v>
      </c>
      <c r="C95" s="2" t="s">
        <v>1276</v>
      </c>
      <c r="D95" s="2" t="str">
        <f>HYPERLINK("https://my.zakupki.prom.ua/remote/dispatcher/state_contracting_view/13270433", "UA-2022-04-15-000024-b-b1")</f>
        <v>UA-2022-04-15-000024-b-b1</v>
      </c>
      <c r="E95" s="1" t="s">
        <v>991</v>
      </c>
      <c r="F95" s="1" t="s">
        <v>1405</v>
      </c>
      <c r="G95" s="1" t="s">
        <v>1404</v>
      </c>
      <c r="H95" s="1" t="s">
        <v>461</v>
      </c>
      <c r="I95" s="1" t="s">
        <v>1175</v>
      </c>
      <c r="J95" s="1" t="s">
        <v>1604</v>
      </c>
      <c r="K95" s="1" t="s">
        <v>359</v>
      </c>
      <c r="L95" s="1" t="s">
        <v>177</v>
      </c>
      <c r="M95" s="5">
        <v>2051</v>
      </c>
      <c r="N95" s="6">
        <v>44665</v>
      </c>
      <c r="O95" s="6">
        <v>44926</v>
      </c>
      <c r="P95" s="1" t="s">
        <v>1674</v>
      </c>
    </row>
    <row r="96" spans="1:16" hidden="1">
      <c r="A96" s="4">
        <v>179</v>
      </c>
      <c r="B96" s="2" t="str">
        <f>HYPERLINK("https://my.zakupki.prom.ua/remote/dispatcher/state_purchase_view/36045892", "UA-2022-05-03-002117-a")</f>
        <v>UA-2022-05-03-002117-a</v>
      </c>
      <c r="C96" s="2" t="s">
        <v>1276</v>
      </c>
      <c r="D96" s="2" t="str">
        <f>HYPERLINK("https://my.zakupki.prom.ua/remote/dispatcher/state_contracting_view/13331402", "UA-2022-05-03-002117-a-a1")</f>
        <v>UA-2022-05-03-002117-a-a1</v>
      </c>
      <c r="E96" s="1" t="s">
        <v>548</v>
      </c>
      <c r="F96" s="1" t="s">
        <v>1478</v>
      </c>
      <c r="G96" s="1" t="s">
        <v>1478</v>
      </c>
      <c r="H96" s="1" t="s">
        <v>495</v>
      </c>
      <c r="I96" s="1" t="s">
        <v>1175</v>
      </c>
      <c r="J96" s="1" t="s">
        <v>1148</v>
      </c>
      <c r="K96" s="1" t="s">
        <v>296</v>
      </c>
      <c r="L96" s="1" t="s">
        <v>589</v>
      </c>
      <c r="M96" s="5">
        <v>1470</v>
      </c>
      <c r="N96" s="6">
        <v>44683</v>
      </c>
      <c r="O96" s="6">
        <v>44926</v>
      </c>
      <c r="P96" s="1" t="s">
        <v>1674</v>
      </c>
    </row>
    <row r="97" spans="1:16" hidden="1">
      <c r="A97" s="4">
        <v>180</v>
      </c>
      <c r="B97" s="2" t="str">
        <f>HYPERLINK("https://my.zakupki.prom.ua/remote/dispatcher/state_purchase_view/36664997", "UA-2022-07-13-005322-a")</f>
        <v>UA-2022-07-13-005322-a</v>
      </c>
      <c r="C97" s="2" t="s">
        <v>1276</v>
      </c>
      <c r="D97" s="2" t="str">
        <f>HYPERLINK("https://my.zakupki.prom.ua/remote/dispatcher/state_contracting_view/13641968", "UA-2022-07-13-005322-a-b1")</f>
        <v>UA-2022-07-13-005322-a-b1</v>
      </c>
      <c r="E97" s="1" t="s">
        <v>818</v>
      </c>
      <c r="F97" s="1" t="s">
        <v>1416</v>
      </c>
      <c r="G97" s="1" t="s">
        <v>1416</v>
      </c>
      <c r="H97" s="1" t="s">
        <v>500</v>
      </c>
      <c r="I97" s="1" t="s">
        <v>1175</v>
      </c>
      <c r="J97" s="1" t="s">
        <v>1604</v>
      </c>
      <c r="K97" s="1" t="s">
        <v>359</v>
      </c>
      <c r="L97" s="1" t="s">
        <v>351</v>
      </c>
      <c r="M97" s="5">
        <v>659</v>
      </c>
      <c r="N97" s="6">
        <v>44753</v>
      </c>
      <c r="O97" s="6">
        <v>44926</v>
      </c>
      <c r="P97" s="1" t="s">
        <v>1674</v>
      </c>
    </row>
    <row r="98" spans="1:16" hidden="1">
      <c r="A98" s="4">
        <v>181</v>
      </c>
      <c r="B98" s="2" t="str">
        <f>HYPERLINK("https://my.zakupki.prom.ua/remote/dispatcher/state_purchase_view/36911829", "UA-2022-08-03-006530-a")</f>
        <v>UA-2022-08-03-006530-a</v>
      </c>
      <c r="C98" s="2" t="s">
        <v>1276</v>
      </c>
      <c r="D98" s="2" t="str">
        <f>HYPERLINK("https://my.zakupki.prom.ua/remote/dispatcher/state_contracting_view/13757827", "UA-2022-08-03-006530-a-b1")</f>
        <v>UA-2022-08-03-006530-a-b1</v>
      </c>
      <c r="E98" s="1" t="s">
        <v>427</v>
      </c>
      <c r="F98" s="1" t="s">
        <v>1320</v>
      </c>
      <c r="G98" s="1" t="s">
        <v>1320</v>
      </c>
      <c r="H98" s="1" t="s">
        <v>776</v>
      </c>
      <c r="I98" s="1" t="s">
        <v>1175</v>
      </c>
      <c r="J98" s="1" t="s">
        <v>1289</v>
      </c>
      <c r="K98" s="1" t="s">
        <v>398</v>
      </c>
      <c r="L98" s="1" t="s">
        <v>789</v>
      </c>
      <c r="M98" s="5">
        <v>3500</v>
      </c>
      <c r="N98" s="6">
        <v>44774</v>
      </c>
      <c r="O98" s="6">
        <v>44926</v>
      </c>
      <c r="P98" s="1" t="s">
        <v>1674</v>
      </c>
    </row>
    <row r="99" spans="1:16" hidden="1">
      <c r="A99" s="4">
        <v>182</v>
      </c>
      <c r="B99" s="2" t="str">
        <f>HYPERLINK("https://my.zakupki.prom.ua/remote/dispatcher/state_purchase_view/36664300", "UA-2022-07-13-004963-a")</f>
        <v>UA-2022-07-13-004963-a</v>
      </c>
      <c r="C99" s="2" t="s">
        <v>1276</v>
      </c>
      <c r="D99" s="2" t="str">
        <f>HYPERLINK("https://my.zakupki.prom.ua/remote/dispatcher/state_contracting_view/13641803", "UA-2022-07-13-004963-a-b1")</f>
        <v>UA-2022-07-13-004963-a-b1</v>
      </c>
      <c r="E99" s="1" t="s">
        <v>767</v>
      </c>
      <c r="F99" s="1" t="s">
        <v>1476</v>
      </c>
      <c r="G99" s="1" t="s">
        <v>1476</v>
      </c>
      <c r="H99" s="1" t="s">
        <v>259</v>
      </c>
      <c r="I99" s="1" t="s">
        <v>1175</v>
      </c>
      <c r="J99" s="1" t="s">
        <v>1604</v>
      </c>
      <c r="K99" s="1" t="s">
        <v>359</v>
      </c>
      <c r="L99" s="1" t="s">
        <v>350</v>
      </c>
      <c r="M99" s="5">
        <v>166.5</v>
      </c>
      <c r="N99" s="6">
        <v>44753</v>
      </c>
      <c r="O99" s="6">
        <v>44926</v>
      </c>
      <c r="P99" s="1" t="s">
        <v>1674</v>
      </c>
    </row>
    <row r="100" spans="1:16" hidden="1">
      <c r="A100" s="4">
        <v>183</v>
      </c>
      <c r="B100" s="2" t="str">
        <f>HYPERLINK("https://my.zakupki.prom.ua/remote/dispatcher/state_purchase_view/38880747", "UA-2022-11-29-007522-a")</f>
        <v>UA-2022-11-29-007522-a</v>
      </c>
      <c r="C100" s="2" t="s">
        <v>1276</v>
      </c>
      <c r="D100" s="2" t="str">
        <f>HYPERLINK("https://my.zakupki.prom.ua/remote/dispatcher/state_contracting_view/14705901", "UA-2022-11-29-007522-a-b1")</f>
        <v>UA-2022-11-29-007522-a-b1</v>
      </c>
      <c r="E100" s="1" t="s">
        <v>915</v>
      </c>
      <c r="F100" s="1" t="s">
        <v>1488</v>
      </c>
      <c r="G100" s="1" t="s">
        <v>1488</v>
      </c>
      <c r="H100" s="1" t="s">
        <v>103</v>
      </c>
      <c r="I100" s="1" t="s">
        <v>1175</v>
      </c>
      <c r="J100" s="1" t="s">
        <v>1631</v>
      </c>
      <c r="K100" s="1" t="s">
        <v>541</v>
      </c>
      <c r="L100" s="1" t="s">
        <v>373</v>
      </c>
      <c r="M100" s="5">
        <v>5300</v>
      </c>
      <c r="N100" s="6">
        <v>44893</v>
      </c>
      <c r="O100" s="6">
        <v>44926</v>
      </c>
      <c r="P100" s="1" t="s">
        <v>1674</v>
      </c>
    </row>
    <row r="101" spans="1:16" hidden="1">
      <c r="A101" s="4">
        <v>184</v>
      </c>
      <c r="B101" s="2" t="str">
        <f>HYPERLINK("https://my.zakupki.prom.ua/remote/dispatcher/state_purchase_view/36241284", "UA-2022-05-30-004566-a")</f>
        <v>UA-2022-05-30-004566-a</v>
      </c>
      <c r="C101" s="2" t="s">
        <v>1276</v>
      </c>
      <c r="D101" s="2" t="str">
        <f>HYPERLINK("https://my.zakupki.prom.ua/remote/dispatcher/state_contracting_view/13430888", "UA-2022-05-30-004566-a-b1")</f>
        <v>UA-2022-05-30-004566-a-b1</v>
      </c>
      <c r="E101" s="1" t="s">
        <v>866</v>
      </c>
      <c r="F101" s="1" t="s">
        <v>1245</v>
      </c>
      <c r="G101" s="1" t="s">
        <v>1245</v>
      </c>
      <c r="H101" s="1" t="s">
        <v>757</v>
      </c>
      <c r="I101" s="1" t="s">
        <v>1175</v>
      </c>
      <c r="J101" s="1" t="s">
        <v>1665</v>
      </c>
      <c r="K101" s="1" t="s">
        <v>394</v>
      </c>
      <c r="L101" s="1" t="s">
        <v>307</v>
      </c>
      <c r="M101" s="5">
        <v>400</v>
      </c>
      <c r="N101" s="6">
        <v>44711</v>
      </c>
      <c r="O101" s="6">
        <v>44926</v>
      </c>
      <c r="P101" s="1" t="s">
        <v>1674</v>
      </c>
    </row>
    <row r="102" spans="1:16" hidden="1">
      <c r="A102" s="4">
        <v>185</v>
      </c>
      <c r="B102" s="2" t="str">
        <f>HYPERLINK("https://my.zakupki.prom.ua/remote/dispatcher/state_purchase_view/36307963", "UA-2022-06-07-004183-a")</f>
        <v>UA-2022-06-07-004183-a</v>
      </c>
      <c r="C102" s="2" t="s">
        <v>1276</v>
      </c>
      <c r="D102" s="2" t="str">
        <f>HYPERLINK("https://my.zakupki.prom.ua/remote/dispatcher/state_contracting_view/13465326", "UA-2022-06-07-004183-a-b1")</f>
        <v>UA-2022-06-07-004183-a-b1</v>
      </c>
      <c r="E102" s="1" t="s">
        <v>746</v>
      </c>
      <c r="F102" s="1" t="s">
        <v>1415</v>
      </c>
      <c r="G102" s="1" t="s">
        <v>1415</v>
      </c>
      <c r="H102" s="1" t="s">
        <v>625</v>
      </c>
      <c r="I102" s="1" t="s">
        <v>1175</v>
      </c>
      <c r="J102" s="1" t="s">
        <v>1620</v>
      </c>
      <c r="K102" s="1" t="s">
        <v>378</v>
      </c>
      <c r="L102" s="1" t="s">
        <v>835</v>
      </c>
      <c r="M102" s="5">
        <v>970</v>
      </c>
      <c r="N102" s="6">
        <v>44715</v>
      </c>
      <c r="O102" s="6">
        <v>44926</v>
      </c>
      <c r="P102" s="1" t="s">
        <v>1674</v>
      </c>
    </row>
    <row r="103" spans="1:16" hidden="1">
      <c r="A103" s="4">
        <v>186</v>
      </c>
      <c r="B103" s="2" t="str">
        <f>HYPERLINK("https://my.zakupki.prom.ua/remote/dispatcher/state_purchase_view/36312325", "UA-2022-06-07-006561-a")</f>
        <v>UA-2022-06-07-006561-a</v>
      </c>
      <c r="C103" s="2" t="s">
        <v>1276</v>
      </c>
      <c r="D103" s="2" t="str">
        <f>HYPERLINK("https://my.zakupki.prom.ua/remote/dispatcher/state_contracting_view/13467449", "UA-2022-06-07-006561-a-b1")</f>
        <v>UA-2022-06-07-006561-a-b1</v>
      </c>
      <c r="E103" s="1" t="s">
        <v>860</v>
      </c>
      <c r="F103" s="1" t="s">
        <v>1415</v>
      </c>
      <c r="G103" s="1" t="s">
        <v>1415</v>
      </c>
      <c r="H103" s="1" t="s">
        <v>619</v>
      </c>
      <c r="I103" s="1" t="s">
        <v>1175</v>
      </c>
      <c r="J103" s="1" t="s">
        <v>1199</v>
      </c>
      <c r="K103" s="1" t="s">
        <v>472</v>
      </c>
      <c r="L103" s="1" t="s">
        <v>854</v>
      </c>
      <c r="M103" s="5">
        <v>900</v>
      </c>
      <c r="N103" s="6">
        <v>44715</v>
      </c>
      <c r="O103" s="6">
        <v>44926</v>
      </c>
      <c r="P103" s="1" t="s">
        <v>1674</v>
      </c>
    </row>
    <row r="104" spans="1:16" hidden="1">
      <c r="A104" s="4">
        <v>187</v>
      </c>
      <c r="B104" s="2" t="str">
        <f>HYPERLINK("https://my.zakupki.prom.ua/remote/dispatcher/state_purchase_view/37381107", "UA-2022-09-06-010832-a")</f>
        <v>UA-2022-09-06-010832-a</v>
      </c>
      <c r="C104" s="2" t="s">
        <v>1276</v>
      </c>
      <c r="D104" s="2" t="str">
        <f>HYPERLINK("https://my.zakupki.prom.ua/remote/dispatcher/state_contracting_view/13983779", "UA-2022-09-06-010832-a-b1")</f>
        <v>UA-2022-09-06-010832-a-b1</v>
      </c>
      <c r="E104" s="1" t="s">
        <v>675</v>
      </c>
      <c r="F104" s="1" t="s">
        <v>1316</v>
      </c>
      <c r="G104" s="1" t="s">
        <v>1316</v>
      </c>
      <c r="H104" s="1" t="s">
        <v>830</v>
      </c>
      <c r="I104" s="1" t="s">
        <v>1175</v>
      </c>
      <c r="J104" s="1" t="s">
        <v>1144</v>
      </c>
      <c r="K104" s="1" t="s">
        <v>357</v>
      </c>
      <c r="L104" s="1" t="s">
        <v>228</v>
      </c>
      <c r="M104" s="5">
        <v>1000</v>
      </c>
      <c r="N104" s="6">
        <v>44810</v>
      </c>
      <c r="O104" s="6">
        <v>44926</v>
      </c>
      <c r="P104" s="1" t="s">
        <v>1674</v>
      </c>
    </row>
    <row r="105" spans="1:16" hidden="1">
      <c r="A105" s="4">
        <v>188</v>
      </c>
      <c r="B105" s="2" t="str">
        <f>HYPERLINK("https://my.zakupki.prom.ua/remote/dispatcher/state_purchase_view/38037052", "UA-2022-10-18-010378-a")</f>
        <v>UA-2022-10-18-010378-a</v>
      </c>
      <c r="C105" s="2" t="s">
        <v>1276</v>
      </c>
      <c r="D105" s="2" t="str">
        <f>HYPERLINK("https://my.zakupki.prom.ua/remote/dispatcher/state_contracting_view/14305036", "UA-2022-10-18-010378-a-c1")</f>
        <v>UA-2022-10-18-010378-a-c1</v>
      </c>
      <c r="E105" s="1" t="s">
        <v>573</v>
      </c>
      <c r="F105" s="1" t="s">
        <v>1505</v>
      </c>
      <c r="G105" s="1" t="s">
        <v>1505</v>
      </c>
      <c r="H105" s="1" t="s">
        <v>443</v>
      </c>
      <c r="I105" s="1" t="s">
        <v>1175</v>
      </c>
      <c r="J105" s="1" t="s">
        <v>1138</v>
      </c>
      <c r="K105" s="1" t="s">
        <v>383</v>
      </c>
      <c r="L105" s="1" t="s">
        <v>213</v>
      </c>
      <c r="M105" s="5">
        <v>17000</v>
      </c>
      <c r="N105" s="6">
        <v>44851</v>
      </c>
      <c r="O105" s="6">
        <v>44926</v>
      </c>
      <c r="P105" s="1" t="s">
        <v>1674</v>
      </c>
    </row>
    <row r="106" spans="1:16" hidden="1">
      <c r="A106" s="4">
        <v>189</v>
      </c>
      <c r="B106" s="2" t="str">
        <f>HYPERLINK("https://my.zakupki.prom.ua/remote/dispatcher/state_purchase_view/38199752", "UA-2022-10-27-005381-a")</f>
        <v>UA-2022-10-27-005381-a</v>
      </c>
      <c r="C106" s="2" t="s">
        <v>1276</v>
      </c>
      <c r="D106" s="2" t="str">
        <f>HYPERLINK("https://my.zakupki.prom.ua/remote/dispatcher/state_contracting_view/14388676", "UA-2022-10-27-005381-a-a1")</f>
        <v>UA-2022-10-27-005381-a-a1</v>
      </c>
      <c r="E106" s="1" t="s">
        <v>762</v>
      </c>
      <c r="F106" s="1" t="s">
        <v>1353</v>
      </c>
      <c r="G106" s="1" t="s">
        <v>1353</v>
      </c>
      <c r="H106" s="1" t="s">
        <v>325</v>
      </c>
      <c r="I106" s="1" t="s">
        <v>1175</v>
      </c>
      <c r="J106" s="1" t="s">
        <v>1634</v>
      </c>
      <c r="K106" s="1" t="s">
        <v>526</v>
      </c>
      <c r="L106" s="1" t="s">
        <v>1219</v>
      </c>
      <c r="M106" s="5">
        <v>8940</v>
      </c>
      <c r="N106" s="6">
        <v>44859</v>
      </c>
      <c r="O106" s="6">
        <v>44926</v>
      </c>
      <c r="P106" s="1" t="s">
        <v>1674</v>
      </c>
    </row>
    <row r="107" spans="1:16" hidden="1">
      <c r="A107" s="4">
        <v>190</v>
      </c>
      <c r="B107" s="2" t="str">
        <f>HYPERLINK("https://my.zakupki.prom.ua/remote/dispatcher/state_purchase_view/39102617", "UA-2022-12-07-007386-a")</f>
        <v>UA-2022-12-07-007386-a</v>
      </c>
      <c r="C107" s="2" t="s">
        <v>1276</v>
      </c>
      <c r="D107" s="2" t="str">
        <f>HYPERLINK("https://my.zakupki.prom.ua/remote/dispatcher/state_contracting_view/14807363", "UA-2022-12-07-007386-a-c1")</f>
        <v>UA-2022-12-07-007386-a-c1</v>
      </c>
      <c r="E107" s="1" t="s">
        <v>78</v>
      </c>
      <c r="F107" s="1" t="s">
        <v>1246</v>
      </c>
      <c r="G107" s="1" t="s">
        <v>1246</v>
      </c>
      <c r="H107" s="1" t="s">
        <v>619</v>
      </c>
      <c r="I107" s="1" t="s">
        <v>1175</v>
      </c>
      <c r="J107" s="1" t="s">
        <v>1604</v>
      </c>
      <c r="K107" s="1" t="s">
        <v>359</v>
      </c>
      <c r="L107" s="1" t="s">
        <v>604</v>
      </c>
      <c r="M107" s="5">
        <v>2360</v>
      </c>
      <c r="N107" s="6">
        <v>44901</v>
      </c>
      <c r="O107" s="6">
        <v>44926</v>
      </c>
      <c r="P107" s="1" t="s">
        <v>1674</v>
      </c>
    </row>
    <row r="108" spans="1:16" hidden="1">
      <c r="A108" s="4">
        <v>191</v>
      </c>
      <c r="B108" s="2" t="str">
        <f>HYPERLINK("https://my.zakupki.prom.ua/remote/dispatcher/state_purchase_view/34134802", "UA-2022-01-17-007559-a")</f>
        <v>UA-2022-01-17-007559-a</v>
      </c>
      <c r="C108" s="2" t="s">
        <v>1276</v>
      </c>
      <c r="D108" s="2" t="str">
        <f>HYPERLINK("https://my.zakupki.prom.ua/remote/dispatcher/state_contracting_view/12658796", "UA-2022-01-17-007559-a-b1")</f>
        <v>UA-2022-01-17-007559-a-b1</v>
      </c>
      <c r="E108" s="1" t="s">
        <v>798</v>
      </c>
      <c r="F108" s="1" t="s">
        <v>1325</v>
      </c>
      <c r="G108" s="1" t="s">
        <v>1324</v>
      </c>
      <c r="H108" s="1" t="s">
        <v>659</v>
      </c>
      <c r="I108" s="1" t="s">
        <v>1610</v>
      </c>
      <c r="J108" s="1" t="s">
        <v>1656</v>
      </c>
      <c r="K108" s="1" t="s">
        <v>407</v>
      </c>
      <c r="L108" s="1" t="s">
        <v>5</v>
      </c>
      <c r="M108" s="5">
        <v>195856.67</v>
      </c>
      <c r="N108" s="6">
        <v>44592</v>
      </c>
      <c r="O108" s="6">
        <v>44926</v>
      </c>
      <c r="P108" s="1" t="s">
        <v>1676</v>
      </c>
    </row>
    <row r="109" spans="1:16" hidden="1">
      <c r="A109" s="4">
        <v>192</v>
      </c>
      <c r="B109" s="2" t="str">
        <f>HYPERLINK("https://my.zakupki.prom.ua/remote/dispatcher/state_purchase_view/35062579", "UA-2022-02-10-011958-b")</f>
        <v>UA-2022-02-10-011958-b</v>
      </c>
      <c r="C109" s="2" t="s">
        <v>1276</v>
      </c>
      <c r="D109" s="2" t="str">
        <f>HYPERLINK("https://my.zakupki.prom.ua/remote/dispatcher/state_contracting_view/12834844", "UA-2022-02-10-011958-b-b1")</f>
        <v>UA-2022-02-10-011958-b-b1</v>
      </c>
      <c r="E109" s="1" t="s">
        <v>695</v>
      </c>
      <c r="F109" s="1" t="s">
        <v>1258</v>
      </c>
      <c r="G109" s="1" t="s">
        <v>1257</v>
      </c>
      <c r="H109" s="1" t="s">
        <v>715</v>
      </c>
      <c r="I109" s="1" t="s">
        <v>1175</v>
      </c>
      <c r="J109" s="1" t="s">
        <v>1147</v>
      </c>
      <c r="K109" s="1" t="s">
        <v>329</v>
      </c>
      <c r="L109" s="1" t="s">
        <v>126</v>
      </c>
      <c r="M109" s="5">
        <v>10250</v>
      </c>
      <c r="N109" s="6">
        <v>44600</v>
      </c>
      <c r="O109" s="6">
        <v>44926</v>
      </c>
      <c r="P109" s="1" t="s">
        <v>1674</v>
      </c>
    </row>
    <row r="110" spans="1:16" hidden="1">
      <c r="A110" s="4">
        <v>193</v>
      </c>
      <c r="B110" s="2" t="str">
        <f>HYPERLINK("https://my.zakupki.prom.ua/remote/dispatcher/state_purchase_view/35760675", "UA-2022-03-26-000227-b")</f>
        <v>UA-2022-03-26-000227-b</v>
      </c>
      <c r="C110" s="2" t="s">
        <v>1276</v>
      </c>
      <c r="D110" s="2" t="str">
        <f>HYPERLINK("https://my.zakupki.prom.ua/remote/dispatcher/state_contracting_view/13182499", "UA-2022-03-26-000227-b-b1")</f>
        <v>UA-2022-03-26-000227-b-b1</v>
      </c>
      <c r="E110" s="1" t="s">
        <v>1070</v>
      </c>
      <c r="F110" s="1" t="s">
        <v>1537</v>
      </c>
      <c r="G110" s="1" t="s">
        <v>1536</v>
      </c>
      <c r="H110" s="1" t="s">
        <v>655</v>
      </c>
      <c r="I110" s="1" t="s">
        <v>1175</v>
      </c>
      <c r="J110" s="1" t="s">
        <v>1138</v>
      </c>
      <c r="K110" s="1" t="s">
        <v>383</v>
      </c>
      <c r="L110" s="1" t="s">
        <v>124</v>
      </c>
      <c r="M110" s="5">
        <v>2200</v>
      </c>
      <c r="N110" s="6">
        <v>44645</v>
      </c>
      <c r="O110" s="6">
        <v>44926</v>
      </c>
      <c r="P110" s="1" t="s">
        <v>1674</v>
      </c>
    </row>
    <row r="111" spans="1:16" hidden="1">
      <c r="A111" s="4">
        <v>194</v>
      </c>
      <c r="B111" s="2" t="str">
        <f>HYPERLINK("https://my.zakupki.prom.ua/remote/dispatcher/state_purchase_view/35783627", "UA-2022-03-29-004128-b")</f>
        <v>UA-2022-03-29-004128-b</v>
      </c>
      <c r="C111" s="2" t="s">
        <v>1276</v>
      </c>
      <c r="D111" s="2" t="str">
        <f>HYPERLINK("https://my.zakupki.prom.ua/remote/dispatcher/state_contracting_view/13194900", "UA-2022-03-29-004128-b-b1")</f>
        <v>UA-2022-03-29-004128-b-b1</v>
      </c>
      <c r="E111" s="1" t="s">
        <v>909</v>
      </c>
      <c r="F111" s="1" t="s">
        <v>1436</v>
      </c>
      <c r="G111" s="1" t="s">
        <v>1436</v>
      </c>
      <c r="H111" s="1" t="s">
        <v>626</v>
      </c>
      <c r="I111" s="1" t="s">
        <v>1175</v>
      </c>
      <c r="J111" s="1" t="s">
        <v>1202</v>
      </c>
      <c r="K111" s="1" t="s">
        <v>289</v>
      </c>
      <c r="L111" s="1" t="s">
        <v>412</v>
      </c>
      <c r="M111" s="5">
        <v>3851</v>
      </c>
      <c r="N111" s="6">
        <v>44649</v>
      </c>
      <c r="O111" s="6">
        <v>44926</v>
      </c>
      <c r="P111" s="1" t="s">
        <v>1674</v>
      </c>
    </row>
    <row r="112" spans="1:16" hidden="1">
      <c r="A112" s="4">
        <v>195</v>
      </c>
      <c r="B112" s="2" t="str">
        <f>HYPERLINK("https://my.zakupki.prom.ua/remote/dispatcher/state_purchase_view/35783780", "UA-2022-03-29-004190-b")</f>
        <v>UA-2022-03-29-004190-b</v>
      </c>
      <c r="C112" s="2" t="s">
        <v>1276</v>
      </c>
      <c r="D112" s="2" t="str">
        <f>HYPERLINK("https://my.zakupki.prom.ua/remote/dispatcher/state_contracting_view/13194961", "UA-2022-03-29-004190-b-b1")</f>
        <v>UA-2022-03-29-004190-b-b1</v>
      </c>
      <c r="E112" s="1" t="s">
        <v>545</v>
      </c>
      <c r="F112" s="1" t="s">
        <v>1423</v>
      </c>
      <c r="G112" s="1" t="s">
        <v>1423</v>
      </c>
      <c r="H112" s="1" t="s">
        <v>622</v>
      </c>
      <c r="I112" s="1" t="s">
        <v>1175</v>
      </c>
      <c r="J112" s="1" t="s">
        <v>1202</v>
      </c>
      <c r="K112" s="1" t="s">
        <v>289</v>
      </c>
      <c r="L112" s="1" t="s">
        <v>414</v>
      </c>
      <c r="M112" s="5">
        <v>310</v>
      </c>
      <c r="N112" s="6">
        <v>44649</v>
      </c>
      <c r="O112" s="6">
        <v>44926</v>
      </c>
      <c r="P112" s="1" t="s">
        <v>1674</v>
      </c>
    </row>
    <row r="113" spans="1:16" hidden="1">
      <c r="A113" s="4">
        <v>196</v>
      </c>
      <c r="B113" s="2" t="str">
        <f>HYPERLINK("https://my.zakupki.prom.ua/remote/dispatcher/state_purchase_view/35586191", "UA-2022-03-07-000664-a")</f>
        <v>UA-2022-03-07-000664-a</v>
      </c>
      <c r="C113" s="2" t="s">
        <v>1276</v>
      </c>
      <c r="D113" s="2" t="str">
        <f>HYPERLINK("https://my.zakupki.prom.ua/remote/dispatcher/state_contracting_view/13089040", "UA-2022-03-07-000664-a-a1")</f>
        <v>UA-2022-03-07-000664-a-a1</v>
      </c>
      <c r="E113" s="1" t="s">
        <v>938</v>
      </c>
      <c r="F113" s="1" t="s">
        <v>1545</v>
      </c>
      <c r="G113" s="1" t="s">
        <v>1545</v>
      </c>
      <c r="H113" s="1" t="s">
        <v>759</v>
      </c>
      <c r="I113" s="1" t="s">
        <v>1175</v>
      </c>
      <c r="J113" s="1" t="s">
        <v>1643</v>
      </c>
      <c r="K113" s="1" t="s">
        <v>530</v>
      </c>
      <c r="L113" s="1" t="s">
        <v>360</v>
      </c>
      <c r="M113" s="5">
        <v>18</v>
      </c>
      <c r="N113" s="6">
        <v>44624</v>
      </c>
      <c r="O113" s="6">
        <v>44926</v>
      </c>
      <c r="P113" s="1" t="s">
        <v>1674</v>
      </c>
    </row>
    <row r="114" spans="1:16" hidden="1">
      <c r="A114" s="4">
        <v>197</v>
      </c>
      <c r="B114" s="2" t="str">
        <f>HYPERLINK("https://my.zakupki.prom.ua/remote/dispatcher/state_purchase_view/34449089", "UA-2022-01-26-000497-b")</f>
        <v>UA-2022-01-26-000497-b</v>
      </c>
      <c r="C114" s="2" t="s">
        <v>1276</v>
      </c>
      <c r="D114" s="2" t="str">
        <f>HYPERLINK("https://my.zakupki.prom.ua/remote/dispatcher/state_contracting_view/12548513", "UA-2022-01-26-000497-b-b1")</f>
        <v>UA-2022-01-26-000497-b-b1</v>
      </c>
      <c r="E114" s="1" t="s">
        <v>102</v>
      </c>
      <c r="F114" s="1" t="s">
        <v>1339</v>
      </c>
      <c r="G114" s="1" t="s">
        <v>1340</v>
      </c>
      <c r="H114" s="1" t="s">
        <v>777</v>
      </c>
      <c r="I114" s="1" t="s">
        <v>1175</v>
      </c>
      <c r="J114" s="1" t="s">
        <v>1651</v>
      </c>
      <c r="K114" s="1" t="s">
        <v>581</v>
      </c>
      <c r="L114" s="1" t="s">
        <v>216</v>
      </c>
      <c r="M114" s="5">
        <v>11400</v>
      </c>
      <c r="N114" s="6">
        <v>44586</v>
      </c>
      <c r="O114" s="6">
        <v>44926</v>
      </c>
      <c r="P114" s="1" t="s">
        <v>1674</v>
      </c>
    </row>
    <row r="115" spans="1:16" hidden="1">
      <c r="A115" s="4">
        <v>198</v>
      </c>
      <c r="B115" s="2" t="str">
        <f>HYPERLINK("https://my.zakupki.prom.ua/remote/dispatcher/state_purchase_view/34162254", "UA-2022-01-18-005617-a")</f>
        <v>UA-2022-01-18-005617-a</v>
      </c>
      <c r="C115" s="2" t="s">
        <v>1276</v>
      </c>
      <c r="D115" s="2" t="str">
        <f>HYPERLINK("https://my.zakupki.prom.ua/remote/dispatcher/state_contracting_view/12655426", "UA-2022-01-18-005617-a-b1")</f>
        <v>UA-2022-01-18-005617-a-b1</v>
      </c>
      <c r="E115" s="1" t="s">
        <v>393</v>
      </c>
      <c r="F115" s="1" t="s">
        <v>1330</v>
      </c>
      <c r="G115" s="1" t="s">
        <v>1329</v>
      </c>
      <c r="H115" s="1" t="s">
        <v>658</v>
      </c>
      <c r="I115" s="1" t="s">
        <v>1610</v>
      </c>
      <c r="J115" s="1" t="s">
        <v>1656</v>
      </c>
      <c r="K115" s="1" t="s">
        <v>407</v>
      </c>
      <c r="L115" s="1" t="s">
        <v>22</v>
      </c>
      <c r="M115" s="5">
        <v>105326.24</v>
      </c>
      <c r="N115" s="6">
        <v>44592</v>
      </c>
      <c r="O115" s="6">
        <v>44926</v>
      </c>
      <c r="P115" s="1" t="s">
        <v>1676</v>
      </c>
    </row>
    <row r="116" spans="1:16" hidden="1">
      <c r="A116" s="4">
        <v>199</v>
      </c>
      <c r="B116" s="2" t="str">
        <f>HYPERLINK("https://my.zakupki.prom.ua/remote/dispatcher/state_purchase_view/37713832", "UA-2022-09-27-007018-a")</f>
        <v>UA-2022-09-27-007018-a</v>
      </c>
      <c r="C116" s="2" t="s">
        <v>1276</v>
      </c>
      <c r="D116" s="2" t="str">
        <f>HYPERLINK("https://my.zakupki.prom.ua/remote/dispatcher/state_contracting_view/14147038", "UA-2022-09-27-007018-a-b1")</f>
        <v>UA-2022-09-27-007018-a-b1</v>
      </c>
      <c r="E116" s="1" t="s">
        <v>988</v>
      </c>
      <c r="F116" s="1" t="s">
        <v>1080</v>
      </c>
      <c r="G116" s="1" t="s">
        <v>877</v>
      </c>
      <c r="H116" s="1" t="s">
        <v>524</v>
      </c>
      <c r="I116" s="1" t="s">
        <v>1175</v>
      </c>
      <c r="J116" s="1" t="s">
        <v>1672</v>
      </c>
      <c r="K116" s="1" t="s">
        <v>485</v>
      </c>
      <c r="L116" s="1" t="s">
        <v>301</v>
      </c>
      <c r="M116" s="5">
        <v>5408</v>
      </c>
      <c r="N116" s="6">
        <v>44825</v>
      </c>
      <c r="O116" s="6">
        <v>44926</v>
      </c>
      <c r="P116" s="1" t="s">
        <v>1674</v>
      </c>
    </row>
    <row r="117" spans="1:16" hidden="1">
      <c r="A117" s="4">
        <v>200</v>
      </c>
      <c r="B117" s="2" t="str">
        <f>HYPERLINK("https://my.zakupki.prom.ua/remote/dispatcher/state_purchase_view/36310031", "UA-2022-06-07-005309-a")</f>
        <v>UA-2022-06-07-005309-a</v>
      </c>
      <c r="C117" s="2" t="s">
        <v>1276</v>
      </c>
      <c r="D117" s="2" t="str">
        <f>HYPERLINK("https://my.zakupki.prom.ua/remote/dispatcher/state_contracting_view/13466151", "UA-2022-06-07-005309-a-b1")</f>
        <v>UA-2022-06-07-005309-a-b1</v>
      </c>
      <c r="E117" s="1" t="s">
        <v>966</v>
      </c>
      <c r="F117" s="1" t="s">
        <v>1415</v>
      </c>
      <c r="G117" s="1" t="s">
        <v>1415</v>
      </c>
      <c r="H117" s="1" t="s">
        <v>231</v>
      </c>
      <c r="I117" s="1" t="s">
        <v>1175</v>
      </c>
      <c r="J117" s="1" t="s">
        <v>1620</v>
      </c>
      <c r="K117" s="1" t="s">
        <v>378</v>
      </c>
      <c r="L117" s="1" t="s">
        <v>845</v>
      </c>
      <c r="M117" s="5">
        <v>275</v>
      </c>
      <c r="N117" s="6">
        <v>44715</v>
      </c>
      <c r="O117" s="6">
        <v>44926</v>
      </c>
      <c r="P117" s="1" t="s">
        <v>1674</v>
      </c>
    </row>
    <row r="118" spans="1:16" hidden="1">
      <c r="A118" s="4">
        <v>201</v>
      </c>
      <c r="B118" s="2" t="str">
        <f>HYPERLINK("https://my.zakupki.prom.ua/remote/dispatcher/state_purchase_view/36554989", "UA-2022-07-04-004861-a")</f>
        <v>UA-2022-07-04-004861-a</v>
      </c>
      <c r="C118" s="2" t="s">
        <v>1276</v>
      </c>
      <c r="D118" s="2" t="str">
        <f>HYPERLINK("https://my.zakupki.prom.ua/remote/dispatcher/state_contracting_view/13590452", "UA-2022-07-04-004861-a-b1")</f>
        <v>UA-2022-07-04-004861-a-b1</v>
      </c>
      <c r="E118" s="1" t="s">
        <v>1058</v>
      </c>
      <c r="F118" s="1" t="s">
        <v>1483</v>
      </c>
      <c r="G118" s="1" t="s">
        <v>1483</v>
      </c>
      <c r="H118" s="1" t="s">
        <v>586</v>
      </c>
      <c r="I118" s="1" t="s">
        <v>1175</v>
      </c>
      <c r="J118" s="1" t="s">
        <v>1085</v>
      </c>
      <c r="K118" s="1" t="s">
        <v>479</v>
      </c>
      <c r="L118" s="1" t="s">
        <v>273</v>
      </c>
      <c r="M118" s="5">
        <v>1.25</v>
      </c>
      <c r="N118" s="6">
        <v>44743</v>
      </c>
      <c r="O118" s="6">
        <v>44926</v>
      </c>
      <c r="P118" s="1" t="s">
        <v>1674</v>
      </c>
    </row>
    <row r="119" spans="1:16" hidden="1">
      <c r="A119" s="4">
        <v>202</v>
      </c>
      <c r="B119" s="2" t="str">
        <f>HYPERLINK("https://my.zakupki.prom.ua/remote/dispatcher/state_purchase_view/38418304", "UA-2022-11-08-007978-a")</f>
        <v>UA-2022-11-08-007978-a</v>
      </c>
      <c r="C119" s="2" t="s">
        <v>1276</v>
      </c>
      <c r="D119" s="2" t="str">
        <f>HYPERLINK("https://my.zakupki.prom.ua/remote/dispatcher/state_contracting_view/14492803", "UA-2022-11-08-007978-a-b1")</f>
        <v>UA-2022-11-08-007978-a-b1</v>
      </c>
      <c r="E119" s="1" t="s">
        <v>935</v>
      </c>
      <c r="F119" s="1" t="s">
        <v>1495</v>
      </c>
      <c r="G119" s="1" t="s">
        <v>1495</v>
      </c>
      <c r="H119" s="1" t="s">
        <v>501</v>
      </c>
      <c r="I119" s="1" t="s">
        <v>1175</v>
      </c>
      <c r="J119" s="1" t="s">
        <v>1604</v>
      </c>
      <c r="K119" s="1" t="s">
        <v>359</v>
      </c>
      <c r="L119" s="1" t="s">
        <v>504</v>
      </c>
      <c r="M119" s="5">
        <v>979</v>
      </c>
      <c r="N119" s="6">
        <v>44872</v>
      </c>
      <c r="O119" s="6">
        <v>44926</v>
      </c>
      <c r="P119" s="1" t="s">
        <v>1674</v>
      </c>
    </row>
    <row r="120" spans="1:16" hidden="1">
      <c r="A120" s="4">
        <v>203</v>
      </c>
      <c r="B120" s="2" t="str">
        <f>HYPERLINK("https://my.zakupki.prom.ua/remote/dispatcher/state_purchase_view/38418769", "UA-2022-11-08-008169-a")</f>
        <v>UA-2022-11-08-008169-a</v>
      </c>
      <c r="C120" s="2" t="s">
        <v>1276</v>
      </c>
      <c r="D120" s="2" t="str">
        <f>HYPERLINK("https://my.zakupki.prom.ua/remote/dispatcher/state_contracting_view/14492877", "UA-2022-11-08-008169-a-c1")</f>
        <v>UA-2022-11-08-008169-a-c1</v>
      </c>
      <c r="E120" s="1" t="s">
        <v>1034</v>
      </c>
      <c r="F120" s="1" t="s">
        <v>1491</v>
      </c>
      <c r="G120" s="1" t="s">
        <v>1491</v>
      </c>
      <c r="H120" s="1" t="s">
        <v>564</v>
      </c>
      <c r="I120" s="1" t="s">
        <v>1175</v>
      </c>
      <c r="J120" s="1" t="s">
        <v>1604</v>
      </c>
      <c r="K120" s="1" t="s">
        <v>359</v>
      </c>
      <c r="L120" s="1" t="s">
        <v>503</v>
      </c>
      <c r="M120" s="5">
        <v>2131</v>
      </c>
      <c r="N120" s="6">
        <v>44872</v>
      </c>
      <c r="O120" s="6">
        <v>44926</v>
      </c>
      <c r="P120" s="1" t="s">
        <v>1674</v>
      </c>
    </row>
    <row r="121" spans="1:16" hidden="1">
      <c r="A121" s="4">
        <v>204</v>
      </c>
      <c r="B121" s="2" t="str">
        <f>HYPERLINK("https://my.zakupki.prom.ua/remote/dispatcher/state_purchase_view/38877583", "UA-2022-11-29-006155-a")</f>
        <v>UA-2022-11-29-006155-a</v>
      </c>
      <c r="C121" s="2" t="s">
        <v>1276</v>
      </c>
      <c r="D121" s="2" t="str">
        <f>HYPERLINK("https://my.zakupki.prom.ua/remote/dispatcher/state_contracting_view/14704741", "UA-2022-11-29-006155-a-c1")</f>
        <v>UA-2022-11-29-006155-a-c1</v>
      </c>
      <c r="E121" s="1" t="s">
        <v>49</v>
      </c>
      <c r="F121" s="1" t="s">
        <v>1232</v>
      </c>
      <c r="G121" s="1" t="s">
        <v>1232</v>
      </c>
      <c r="H121" s="1" t="s">
        <v>751</v>
      </c>
      <c r="I121" s="1" t="s">
        <v>1175</v>
      </c>
      <c r="J121" s="1" t="s">
        <v>1641</v>
      </c>
      <c r="K121" s="1" t="s">
        <v>584</v>
      </c>
      <c r="L121" s="1" t="s">
        <v>347</v>
      </c>
      <c r="M121" s="5">
        <v>10680</v>
      </c>
      <c r="N121" s="6">
        <v>44893</v>
      </c>
      <c r="O121" s="6">
        <v>44926</v>
      </c>
      <c r="P121" s="1" t="s">
        <v>1674</v>
      </c>
    </row>
    <row r="122" spans="1:16" hidden="1">
      <c r="A122" s="4">
        <v>205</v>
      </c>
      <c r="B122" s="2" t="str">
        <f>HYPERLINK("https://my.zakupki.prom.ua/remote/dispatcher/state_purchase_view/38882951", "UA-2022-11-29-008671-a")</f>
        <v>UA-2022-11-29-008671-a</v>
      </c>
      <c r="C122" s="2" t="s">
        <v>1276</v>
      </c>
      <c r="D122" s="2" t="str">
        <f>HYPERLINK("https://my.zakupki.prom.ua/remote/dispatcher/state_contracting_view/14707340", "UA-2022-11-29-008671-a-a1")</f>
        <v>UA-2022-11-29-008671-a-a1</v>
      </c>
      <c r="E122" s="1" t="s">
        <v>696</v>
      </c>
      <c r="F122" s="1" t="s">
        <v>1240</v>
      </c>
      <c r="G122" s="1" t="s">
        <v>1240</v>
      </c>
      <c r="H122" s="1" t="s">
        <v>751</v>
      </c>
      <c r="I122" s="1" t="s">
        <v>1175</v>
      </c>
      <c r="J122" s="1" t="s">
        <v>1201</v>
      </c>
      <c r="K122" s="1" t="s">
        <v>331</v>
      </c>
      <c r="L122" s="1" t="s">
        <v>348</v>
      </c>
      <c r="M122" s="5">
        <v>40000</v>
      </c>
      <c r="N122" s="6">
        <v>44893</v>
      </c>
      <c r="O122" s="6">
        <v>44926</v>
      </c>
      <c r="P122" s="1" t="s">
        <v>1674</v>
      </c>
    </row>
    <row r="123" spans="1:16" hidden="1">
      <c r="A123" s="4">
        <v>206</v>
      </c>
      <c r="B123" s="2" t="str">
        <f>HYPERLINK("https://my.zakupki.prom.ua/remote/dispatcher/state_purchase_view/38495603", "UA-2022-11-11-000471-a")</f>
        <v>UA-2022-11-11-000471-a</v>
      </c>
      <c r="C123" s="2" t="s">
        <v>1276</v>
      </c>
      <c r="D123" s="2" t="str">
        <f>HYPERLINK("https://my.zakupki.prom.ua/remote/dispatcher/state_contracting_view/14528707", "UA-2022-11-11-000471-a-b1")</f>
        <v>UA-2022-11-11-000471-a-b1</v>
      </c>
      <c r="E123" s="1" t="s">
        <v>679</v>
      </c>
      <c r="F123" s="1" t="s">
        <v>1407</v>
      </c>
      <c r="G123" s="1" t="s">
        <v>1407</v>
      </c>
      <c r="H123" s="1" t="s">
        <v>440</v>
      </c>
      <c r="I123" s="1" t="s">
        <v>1175</v>
      </c>
      <c r="J123" s="1" t="s">
        <v>1193</v>
      </c>
      <c r="K123" s="1" t="s">
        <v>251</v>
      </c>
      <c r="L123" s="1" t="s">
        <v>321</v>
      </c>
      <c r="M123" s="5">
        <v>1630</v>
      </c>
      <c r="N123" s="6">
        <v>44875</v>
      </c>
      <c r="O123" s="6">
        <v>44926</v>
      </c>
      <c r="P123" s="1" t="s">
        <v>1674</v>
      </c>
    </row>
    <row r="124" spans="1:16" hidden="1">
      <c r="A124" s="4">
        <v>207</v>
      </c>
      <c r="B124" s="2" t="str">
        <f>HYPERLINK("https://my.zakupki.prom.ua/remote/dispatcher/state_purchase_view/38552993", "UA-2022-11-14-013167-a")</f>
        <v>UA-2022-11-14-013167-a</v>
      </c>
      <c r="C124" s="2" t="s">
        <v>1276</v>
      </c>
      <c r="D124" s="2" t="str">
        <f>HYPERLINK("https://my.zakupki.prom.ua/remote/dispatcher/state_contracting_view/14555037", "UA-2022-11-14-013167-a-a1")</f>
        <v>UA-2022-11-14-013167-a-a1</v>
      </c>
      <c r="E124" s="1" t="s">
        <v>766</v>
      </c>
      <c r="F124" s="1" t="s">
        <v>1535</v>
      </c>
      <c r="G124" s="1" t="s">
        <v>1535</v>
      </c>
      <c r="H124" s="1" t="s">
        <v>631</v>
      </c>
      <c r="I124" s="1" t="s">
        <v>1175</v>
      </c>
      <c r="J124" s="1" t="s">
        <v>1196</v>
      </c>
      <c r="K124" s="1" t="s">
        <v>468</v>
      </c>
      <c r="L124" s="1" t="s">
        <v>161</v>
      </c>
      <c r="M124" s="5">
        <v>1419.98</v>
      </c>
      <c r="N124" s="6">
        <v>44876</v>
      </c>
      <c r="O124" s="6">
        <v>44926</v>
      </c>
      <c r="P124" s="1" t="s">
        <v>1674</v>
      </c>
    </row>
    <row r="125" spans="1:16" hidden="1">
      <c r="A125" s="4">
        <v>208</v>
      </c>
      <c r="B125" s="2" t="str">
        <f>HYPERLINK("https://my.zakupki.prom.ua/remote/dispatcher/state_purchase_view/37492444", "UA-2022-09-13-011253-a")</f>
        <v>UA-2022-09-13-011253-a</v>
      </c>
      <c r="C125" s="2" t="s">
        <v>1276</v>
      </c>
      <c r="D125" s="2" t="str">
        <f>HYPERLINK("https://my.zakupki.prom.ua/remote/dispatcher/state_contracting_view/14037924", "UA-2022-09-13-011253-a-b1")</f>
        <v>UA-2022-09-13-011253-a-b1</v>
      </c>
      <c r="E125" s="1" t="s">
        <v>264</v>
      </c>
      <c r="F125" s="1" t="s">
        <v>1247</v>
      </c>
      <c r="G125" s="1" t="s">
        <v>1247</v>
      </c>
      <c r="H125" s="1" t="s">
        <v>487</v>
      </c>
      <c r="I125" s="1" t="s">
        <v>1175</v>
      </c>
      <c r="J125" s="1" t="s">
        <v>1172</v>
      </c>
      <c r="K125" s="1" t="s">
        <v>406</v>
      </c>
      <c r="L125" s="1" t="s">
        <v>368</v>
      </c>
      <c r="M125" s="5">
        <v>12900</v>
      </c>
      <c r="N125" s="6">
        <v>44817</v>
      </c>
      <c r="O125" s="6">
        <v>44926</v>
      </c>
      <c r="P125" s="1" t="s">
        <v>1674</v>
      </c>
    </row>
    <row r="126" spans="1:16" hidden="1">
      <c r="A126" s="4">
        <v>209</v>
      </c>
      <c r="B126" s="2" t="str">
        <f>HYPERLINK("https://my.zakupki.prom.ua/remote/dispatcher/state_purchase_view/38259126", "UA-2022-10-31-008914-a")</f>
        <v>UA-2022-10-31-008914-a</v>
      </c>
      <c r="C126" s="2" t="s">
        <v>1276</v>
      </c>
      <c r="D126" s="2" t="str">
        <f>HYPERLINK("https://my.zakupki.prom.ua/remote/dispatcher/state_contracting_view/14417424", "UA-2022-10-31-008914-a-b1")</f>
        <v>UA-2022-10-31-008914-a-b1</v>
      </c>
      <c r="E126" s="1" t="s">
        <v>647</v>
      </c>
      <c r="F126" s="1" t="s">
        <v>1391</v>
      </c>
      <c r="G126" s="1" t="s">
        <v>1391</v>
      </c>
      <c r="H126" s="1" t="s">
        <v>464</v>
      </c>
      <c r="I126" s="1" t="s">
        <v>1175</v>
      </c>
      <c r="J126" s="1" t="s">
        <v>1607</v>
      </c>
      <c r="K126" s="1" t="s">
        <v>390</v>
      </c>
      <c r="L126" s="1" t="s">
        <v>772</v>
      </c>
      <c r="M126" s="5">
        <v>13730</v>
      </c>
      <c r="N126" s="6">
        <v>44865</v>
      </c>
      <c r="O126" s="6">
        <v>44926</v>
      </c>
      <c r="P126" s="1" t="s">
        <v>1674</v>
      </c>
    </row>
    <row r="127" spans="1:16" hidden="1">
      <c r="A127" s="4">
        <v>210</v>
      </c>
      <c r="B127" s="2" t="str">
        <f>HYPERLINK("https://my.zakupki.prom.ua/remote/dispatcher/state_purchase_view/38198326", "UA-2022-10-27-004640-a")</f>
        <v>UA-2022-10-27-004640-a</v>
      </c>
      <c r="C127" s="2" t="s">
        <v>1276</v>
      </c>
      <c r="D127" s="2" t="str">
        <f>HYPERLINK("https://my.zakupki.prom.ua/remote/dispatcher/state_contracting_view/14387720", "UA-2022-10-27-004640-a-c1")</f>
        <v>UA-2022-10-27-004640-a-c1</v>
      </c>
      <c r="E127" s="1" t="s">
        <v>889</v>
      </c>
      <c r="F127" s="1" t="s">
        <v>1367</v>
      </c>
      <c r="G127" s="1" t="s">
        <v>1367</v>
      </c>
      <c r="H127" s="1" t="s">
        <v>325</v>
      </c>
      <c r="I127" s="1" t="s">
        <v>1175</v>
      </c>
      <c r="J127" s="1" t="s">
        <v>1640</v>
      </c>
      <c r="K127" s="1" t="s">
        <v>537</v>
      </c>
      <c r="L127" s="1" t="s">
        <v>637</v>
      </c>
      <c r="M127" s="5">
        <v>7980</v>
      </c>
      <c r="N127" s="6">
        <v>44859</v>
      </c>
      <c r="O127" s="6">
        <v>44926</v>
      </c>
      <c r="P127" s="1" t="s">
        <v>1674</v>
      </c>
    </row>
    <row r="128" spans="1:16" hidden="1">
      <c r="A128" s="4">
        <v>211</v>
      </c>
      <c r="B128" s="2" t="str">
        <f>HYPERLINK("https://my.zakupki.prom.ua/remote/dispatcher/state_purchase_view/36667007", "UA-2022-07-13-006376-a")</f>
        <v>UA-2022-07-13-006376-a</v>
      </c>
      <c r="C128" s="2" t="s">
        <v>1276</v>
      </c>
      <c r="D128" s="2" t="str">
        <f>HYPERLINK("https://my.zakupki.prom.ua/remote/dispatcher/state_contracting_view/13642955", "UA-2022-07-13-006376-a-b1")</f>
        <v>UA-2022-07-13-006376-a-b1</v>
      </c>
      <c r="E128" s="1" t="s">
        <v>692</v>
      </c>
      <c r="F128" s="1" t="s">
        <v>1430</v>
      </c>
      <c r="G128" s="1" t="s">
        <v>1430</v>
      </c>
      <c r="H128" s="1" t="s">
        <v>501</v>
      </c>
      <c r="I128" s="1" t="s">
        <v>1175</v>
      </c>
      <c r="J128" s="1" t="s">
        <v>1604</v>
      </c>
      <c r="K128" s="1" t="s">
        <v>359</v>
      </c>
      <c r="L128" s="1" t="s">
        <v>352</v>
      </c>
      <c r="M128" s="5">
        <v>574</v>
      </c>
      <c r="N128" s="6">
        <v>44753</v>
      </c>
      <c r="O128" s="6">
        <v>44926</v>
      </c>
      <c r="P128" s="1" t="s">
        <v>1674</v>
      </c>
    </row>
    <row r="129" spans="1:16" hidden="1">
      <c r="A129" s="4">
        <v>212</v>
      </c>
      <c r="B129" s="2" t="str">
        <f>HYPERLINK("https://my.zakupki.prom.ua/remote/dispatcher/state_purchase_view/36742558", "UA-2022-07-20-003618-a")</f>
        <v>UA-2022-07-20-003618-a</v>
      </c>
      <c r="C129" s="2" t="s">
        <v>1276</v>
      </c>
      <c r="D129" s="2" t="str">
        <f>HYPERLINK("https://my.zakupki.prom.ua/remote/dispatcher/state_contracting_view/13678354", "UA-2022-07-20-003618-a-b1")</f>
        <v>UA-2022-07-20-003618-a-b1</v>
      </c>
      <c r="E129" s="1" t="s">
        <v>927</v>
      </c>
      <c r="F129" s="1" t="s">
        <v>1432</v>
      </c>
      <c r="G129" s="1" t="s">
        <v>1432</v>
      </c>
      <c r="H129" s="1" t="s">
        <v>467</v>
      </c>
      <c r="I129" s="1" t="s">
        <v>1175</v>
      </c>
      <c r="J129" s="1" t="s">
        <v>1649</v>
      </c>
      <c r="K129" s="1" t="s">
        <v>230</v>
      </c>
      <c r="L129" s="1" t="s">
        <v>185</v>
      </c>
      <c r="M129" s="5">
        <v>950</v>
      </c>
      <c r="N129" s="6">
        <v>44761</v>
      </c>
      <c r="O129" s="6">
        <v>44926</v>
      </c>
      <c r="P129" s="1" t="s">
        <v>1674</v>
      </c>
    </row>
    <row r="130" spans="1:16" hidden="1">
      <c r="A130" s="4">
        <v>213</v>
      </c>
      <c r="B130" s="2" t="str">
        <f>HYPERLINK("https://my.zakupki.prom.ua/remote/dispatcher/state_purchase_view/39609998", "UA-2022-12-21-021125-a")</f>
        <v>UA-2022-12-21-021125-a</v>
      </c>
      <c r="C130" s="2" t="s">
        <v>1276</v>
      </c>
      <c r="D130" s="2" t="str">
        <f>HYPERLINK("https://my.zakupki.prom.ua/remote/dispatcher/state_contracting_view/15046870", "UA-2022-12-21-021125-a-c1")</f>
        <v>UA-2022-12-21-021125-a-c1</v>
      </c>
      <c r="E130" s="1" t="s">
        <v>871</v>
      </c>
      <c r="F130" s="1" t="s">
        <v>1575</v>
      </c>
      <c r="G130" s="1" t="s">
        <v>1575</v>
      </c>
      <c r="H130" s="1" t="s">
        <v>457</v>
      </c>
      <c r="I130" s="1" t="s">
        <v>1175</v>
      </c>
      <c r="J130" s="1" t="s">
        <v>1618</v>
      </c>
      <c r="K130" s="1" t="s">
        <v>326</v>
      </c>
      <c r="L130" s="1" t="s">
        <v>277</v>
      </c>
      <c r="M130" s="5">
        <v>55000</v>
      </c>
      <c r="N130" s="6">
        <v>44915</v>
      </c>
      <c r="O130" s="6">
        <v>44926</v>
      </c>
      <c r="P130" s="1" t="s">
        <v>1674</v>
      </c>
    </row>
    <row r="131" spans="1:16" hidden="1">
      <c r="A131" s="4">
        <v>214</v>
      </c>
      <c r="B131" s="2" t="str">
        <f>HYPERLINK("https://my.zakupki.prom.ua/remote/dispatcher/state_purchase_view/34915305", "UA-2022-02-07-014766-b")</f>
        <v>UA-2022-02-07-014766-b</v>
      </c>
      <c r="C131" s="2" t="s">
        <v>1276</v>
      </c>
      <c r="D131" s="2" t="str">
        <f>HYPERLINK("https://my.zakupki.prom.ua/remote/dispatcher/state_contracting_view/12765334", "UA-2022-02-07-014766-b-b1")</f>
        <v>UA-2022-02-07-014766-b-b1</v>
      </c>
      <c r="E131" s="1" t="s">
        <v>1018</v>
      </c>
      <c r="F131" s="1" t="s">
        <v>1248</v>
      </c>
      <c r="G131" s="1" t="s">
        <v>1248</v>
      </c>
      <c r="H131" s="1" t="s">
        <v>708</v>
      </c>
      <c r="I131" s="1" t="s">
        <v>1175</v>
      </c>
      <c r="J131" s="1" t="s">
        <v>1084</v>
      </c>
      <c r="K131" s="1" t="s">
        <v>308</v>
      </c>
      <c r="L131" s="1" t="s">
        <v>726</v>
      </c>
      <c r="M131" s="5">
        <v>19477</v>
      </c>
      <c r="N131" s="6">
        <v>44596</v>
      </c>
      <c r="O131" s="6">
        <v>44926</v>
      </c>
      <c r="P131" s="1" t="s">
        <v>1674</v>
      </c>
    </row>
    <row r="132" spans="1:16" hidden="1">
      <c r="A132" s="4">
        <v>215</v>
      </c>
      <c r="B132" s="2" t="str">
        <f>HYPERLINK("https://my.zakupki.prom.ua/remote/dispatcher/state_purchase_view/34106626", "UA-2022-01-17-000550-a")</f>
        <v>UA-2022-01-17-000550-a</v>
      </c>
      <c r="C132" s="2" t="s">
        <v>1276</v>
      </c>
      <c r="D132" s="2" t="str">
        <f>HYPERLINK("https://my.zakupki.prom.ua/remote/dispatcher/state_contracting_view/12678130", "UA-2022-01-17-000550-a-b1")</f>
        <v>UA-2022-01-17-000550-a-b1</v>
      </c>
      <c r="E132" s="1" t="s">
        <v>732</v>
      </c>
      <c r="F132" s="1" t="s">
        <v>1333</v>
      </c>
      <c r="G132" s="1" t="s">
        <v>1332</v>
      </c>
      <c r="H132" s="1" t="s">
        <v>657</v>
      </c>
      <c r="I132" s="1" t="s">
        <v>1610</v>
      </c>
      <c r="J132" s="1" t="s">
        <v>1654</v>
      </c>
      <c r="K132" s="1" t="s">
        <v>584</v>
      </c>
      <c r="L132" s="1" t="s">
        <v>29</v>
      </c>
      <c r="M132" s="5">
        <v>115200</v>
      </c>
      <c r="N132" s="6">
        <v>44592</v>
      </c>
      <c r="O132" s="6">
        <v>44926</v>
      </c>
      <c r="P132" s="1" t="s">
        <v>1676</v>
      </c>
    </row>
    <row r="133" spans="1:16" hidden="1">
      <c r="A133" s="4">
        <v>216</v>
      </c>
      <c r="B133" s="2" t="str">
        <f>HYPERLINK("https://my.zakupki.prom.ua/remote/dispatcher/state_purchase_view/35783445", "UA-2022-03-29-004057-b")</f>
        <v>UA-2022-03-29-004057-b</v>
      </c>
      <c r="C133" s="2" t="s">
        <v>1276</v>
      </c>
      <c r="D133" s="2" t="str">
        <f>HYPERLINK("https://my.zakupki.prom.ua/remote/dispatcher/state_contracting_view/13194815", "UA-2022-03-29-004057-b-b1")</f>
        <v>UA-2022-03-29-004057-b-b1</v>
      </c>
      <c r="E133" s="1" t="s">
        <v>786</v>
      </c>
      <c r="F133" s="1" t="s">
        <v>1393</v>
      </c>
      <c r="G133" s="1" t="s">
        <v>1393</v>
      </c>
      <c r="H133" s="1" t="s">
        <v>608</v>
      </c>
      <c r="I133" s="1" t="s">
        <v>1175</v>
      </c>
      <c r="J133" s="1" t="s">
        <v>1202</v>
      </c>
      <c r="K133" s="1" t="s">
        <v>289</v>
      </c>
      <c r="L133" s="1" t="s">
        <v>410</v>
      </c>
      <c r="M133" s="5">
        <v>1158</v>
      </c>
      <c r="N133" s="6">
        <v>44649</v>
      </c>
      <c r="O133" s="6">
        <v>44926</v>
      </c>
      <c r="P133" s="1" t="s">
        <v>1674</v>
      </c>
    </row>
    <row r="134" spans="1:16" hidden="1">
      <c r="A134" s="4">
        <v>217</v>
      </c>
      <c r="B134" s="2" t="str">
        <f>HYPERLINK("https://my.zakupki.prom.ua/remote/dispatcher/state_purchase_view/35623494", "UA-2022-03-11-001467-a")</f>
        <v>UA-2022-03-11-001467-a</v>
      </c>
      <c r="C134" s="2" t="s">
        <v>1276</v>
      </c>
      <c r="D134" s="2" t="str">
        <f>HYPERLINK("https://my.zakupki.prom.ua/remote/dispatcher/state_contracting_view/13108969", "UA-2022-03-11-001467-a-a1")</f>
        <v>UA-2022-03-11-001467-a-a1</v>
      </c>
      <c r="E134" s="1" t="s">
        <v>977</v>
      </c>
      <c r="F134" s="1" t="s">
        <v>1405</v>
      </c>
      <c r="G134" s="1" t="s">
        <v>1405</v>
      </c>
      <c r="H134" s="1" t="s">
        <v>461</v>
      </c>
      <c r="I134" s="1" t="s">
        <v>1175</v>
      </c>
      <c r="J134" s="1" t="s">
        <v>1604</v>
      </c>
      <c r="K134" s="1" t="s">
        <v>359</v>
      </c>
      <c r="L134" s="1" t="s">
        <v>131</v>
      </c>
      <c r="M134" s="5">
        <v>275</v>
      </c>
      <c r="N134" s="6">
        <v>44631</v>
      </c>
      <c r="O134" s="6">
        <v>44926</v>
      </c>
      <c r="P134" s="1" t="s">
        <v>1674</v>
      </c>
    </row>
    <row r="135" spans="1:16" hidden="1">
      <c r="A135" s="4">
        <v>218</v>
      </c>
      <c r="B135" s="2" t="str">
        <f>HYPERLINK("https://my.zakupki.prom.ua/remote/dispatcher/state_purchase_view/38958352", "UA-2022-12-01-014680-a")</f>
        <v>UA-2022-12-01-014680-a</v>
      </c>
      <c r="C135" s="2" t="s">
        <v>1276</v>
      </c>
      <c r="D135" s="2" t="str">
        <f>HYPERLINK("https://my.zakupki.prom.ua/remote/dispatcher/state_contracting_view/14741485", "UA-2022-12-01-014680-a-b1")</f>
        <v>UA-2022-12-01-014680-a-b1</v>
      </c>
      <c r="E135" s="1" t="s">
        <v>765</v>
      </c>
      <c r="F135" s="1" t="s">
        <v>1398</v>
      </c>
      <c r="G135" s="1" t="s">
        <v>1398</v>
      </c>
      <c r="H135" s="1" t="s">
        <v>498</v>
      </c>
      <c r="I135" s="1" t="s">
        <v>1175</v>
      </c>
      <c r="J135" s="1" t="s">
        <v>1148</v>
      </c>
      <c r="K135" s="1" t="s">
        <v>296</v>
      </c>
      <c r="L135" s="1" t="s">
        <v>182</v>
      </c>
      <c r="M135" s="5">
        <v>900</v>
      </c>
      <c r="N135" s="6">
        <v>44896</v>
      </c>
      <c r="O135" s="6">
        <v>44926</v>
      </c>
      <c r="P135" s="1" t="s">
        <v>1674</v>
      </c>
    </row>
    <row r="136" spans="1:16" hidden="1">
      <c r="A136" s="4">
        <v>219</v>
      </c>
      <c r="B136" s="2" t="str">
        <f>HYPERLINK("https://my.zakupki.prom.ua/remote/dispatcher/state_purchase_view/36668537", "UA-2022-07-13-007154-a")</f>
        <v>UA-2022-07-13-007154-a</v>
      </c>
      <c r="C136" s="2" t="s">
        <v>1276</v>
      </c>
      <c r="D136" s="2" t="str">
        <f>HYPERLINK("https://my.zakupki.prom.ua/remote/dispatcher/state_contracting_view/13643630", "UA-2022-07-13-007154-a-b1")</f>
        <v>UA-2022-07-13-007154-a-b1</v>
      </c>
      <c r="E136" s="1" t="s">
        <v>1022</v>
      </c>
      <c r="F136" s="1" t="s">
        <v>1428</v>
      </c>
      <c r="G136" s="1" t="s">
        <v>1428</v>
      </c>
      <c r="H136" s="1" t="s">
        <v>564</v>
      </c>
      <c r="I136" s="1" t="s">
        <v>1175</v>
      </c>
      <c r="J136" s="1" t="s">
        <v>1604</v>
      </c>
      <c r="K136" s="1" t="s">
        <v>359</v>
      </c>
      <c r="L136" s="1" t="s">
        <v>353</v>
      </c>
      <c r="M136" s="5">
        <v>2502.5</v>
      </c>
      <c r="N136" s="6">
        <v>44753</v>
      </c>
      <c r="O136" s="6">
        <v>44926</v>
      </c>
      <c r="P136" s="1" t="s">
        <v>1674</v>
      </c>
    </row>
    <row r="137" spans="1:16" hidden="1">
      <c r="A137" s="4">
        <v>220</v>
      </c>
      <c r="B137" s="2" t="str">
        <f>HYPERLINK("https://my.zakupki.prom.ua/remote/dispatcher/state_purchase_view/36744838", "UA-2022-07-20-004794-a")</f>
        <v>UA-2022-07-20-004794-a</v>
      </c>
      <c r="C137" s="2" t="s">
        <v>1276</v>
      </c>
      <c r="D137" s="2" t="str">
        <f>HYPERLINK("https://my.zakupki.prom.ua/remote/dispatcher/state_contracting_view/13679088", "UA-2022-07-20-004794-a-b1")</f>
        <v>UA-2022-07-20-004794-a-b1</v>
      </c>
      <c r="E137" s="1" t="s">
        <v>960</v>
      </c>
      <c r="F137" s="1" t="s">
        <v>1422</v>
      </c>
      <c r="G137" s="1" t="s">
        <v>1422</v>
      </c>
      <c r="H137" s="1" t="s">
        <v>622</v>
      </c>
      <c r="I137" s="1" t="s">
        <v>1175</v>
      </c>
      <c r="J137" s="1" t="s">
        <v>1620</v>
      </c>
      <c r="K137" s="1" t="s">
        <v>378</v>
      </c>
      <c r="L137" s="1" t="s">
        <v>173</v>
      </c>
      <c r="M137" s="5">
        <v>935</v>
      </c>
      <c r="N137" s="6">
        <v>44761</v>
      </c>
      <c r="O137" s="6">
        <v>44926</v>
      </c>
      <c r="P137" s="1" t="s">
        <v>1674</v>
      </c>
    </row>
    <row r="138" spans="1:16" hidden="1">
      <c r="A138" s="4">
        <v>221</v>
      </c>
      <c r="B138" s="2" t="str">
        <f>HYPERLINK("https://my.zakupki.prom.ua/remote/dispatcher/state_purchase_view/36493886", "UA-2022-06-27-004524-a")</f>
        <v>UA-2022-06-27-004524-a</v>
      </c>
      <c r="C138" s="2" t="s">
        <v>1276</v>
      </c>
      <c r="D138" s="2" t="str">
        <f>HYPERLINK("https://my.zakupki.prom.ua/remote/dispatcher/state_contracting_view/13559841", "UA-2022-06-27-004524-a-b1")</f>
        <v>UA-2022-06-27-004524-a-b1</v>
      </c>
      <c r="E138" s="1" t="s">
        <v>1052</v>
      </c>
      <c r="F138" s="1" t="s">
        <v>1284</v>
      </c>
      <c r="G138" s="1" t="s">
        <v>1284</v>
      </c>
      <c r="H138" s="1" t="s">
        <v>633</v>
      </c>
      <c r="I138" s="1" t="s">
        <v>1175</v>
      </c>
      <c r="J138" s="1" t="s">
        <v>1197</v>
      </c>
      <c r="K138" s="1" t="s">
        <v>437</v>
      </c>
      <c r="L138" s="1" t="s">
        <v>835</v>
      </c>
      <c r="M138" s="5">
        <v>3401.78</v>
      </c>
      <c r="N138" s="6">
        <v>44736</v>
      </c>
      <c r="O138" s="6">
        <v>44926</v>
      </c>
      <c r="P138" s="1" t="s">
        <v>1674</v>
      </c>
    </row>
    <row r="139" spans="1:16" hidden="1">
      <c r="A139" s="4">
        <v>222</v>
      </c>
      <c r="B139" s="2" t="str">
        <f>HYPERLINK("https://my.zakupki.prom.ua/remote/dispatcher/state_purchase_view/37013682", "UA-2022-08-10-008651-a")</f>
        <v>UA-2022-08-10-008651-a</v>
      </c>
      <c r="C139" s="2" t="s">
        <v>1276</v>
      </c>
      <c r="D139" s="2" t="str">
        <f>HYPERLINK("https://my.zakupki.prom.ua/remote/dispatcher/state_contracting_view/13805845", "UA-2022-08-10-008651-a-b1")</f>
        <v>UA-2022-08-10-008651-a-b1</v>
      </c>
      <c r="E139" s="1" t="s">
        <v>902</v>
      </c>
      <c r="F139" s="1" t="s">
        <v>1427</v>
      </c>
      <c r="G139" s="1" t="s">
        <v>1427</v>
      </c>
      <c r="H139" s="1" t="s">
        <v>564</v>
      </c>
      <c r="I139" s="1" t="s">
        <v>1175</v>
      </c>
      <c r="J139" s="1" t="s">
        <v>1604</v>
      </c>
      <c r="K139" s="1" t="s">
        <v>359</v>
      </c>
      <c r="L139" s="1" t="s">
        <v>335</v>
      </c>
      <c r="M139" s="5">
        <v>1719</v>
      </c>
      <c r="N139" s="6">
        <v>44782</v>
      </c>
      <c r="O139" s="6">
        <v>44926</v>
      </c>
      <c r="P139" s="1" t="s">
        <v>1674</v>
      </c>
    </row>
    <row r="140" spans="1:16" hidden="1">
      <c r="A140" s="4">
        <v>223</v>
      </c>
      <c r="B140" s="2" t="str">
        <f>HYPERLINK("https://my.zakupki.prom.ua/remote/dispatcher/state_purchase_view/36916833", "UA-2022-08-03-009113-a")</f>
        <v>UA-2022-08-03-009113-a</v>
      </c>
      <c r="C140" s="2" t="s">
        <v>1276</v>
      </c>
      <c r="D140" s="2" t="str">
        <f>HYPERLINK("https://my.zakupki.prom.ua/remote/dispatcher/state_contracting_view/13760255", "UA-2022-08-03-009113-a-b1")</f>
        <v>UA-2022-08-03-009113-a-b1</v>
      </c>
      <c r="E140" s="1" t="s">
        <v>614</v>
      </c>
      <c r="F140" s="1" t="s">
        <v>1284</v>
      </c>
      <c r="G140" s="1" t="s">
        <v>1284</v>
      </c>
      <c r="H140" s="1" t="s">
        <v>633</v>
      </c>
      <c r="I140" s="1" t="s">
        <v>1175</v>
      </c>
      <c r="J140" s="1" t="s">
        <v>1197</v>
      </c>
      <c r="K140" s="1" t="s">
        <v>437</v>
      </c>
      <c r="L140" s="1" t="s">
        <v>180</v>
      </c>
      <c r="M140" s="5">
        <v>945.56</v>
      </c>
      <c r="N140" s="6">
        <v>44774</v>
      </c>
      <c r="O140" s="6">
        <v>44926</v>
      </c>
      <c r="P140" s="1" t="s">
        <v>1674</v>
      </c>
    </row>
    <row r="141" spans="1:16" hidden="1">
      <c r="A141" s="4">
        <v>224</v>
      </c>
      <c r="B141" s="2" t="str">
        <f>HYPERLINK("https://my.zakupki.prom.ua/remote/dispatcher/state_purchase_view/37674506", "UA-2022-09-23-010387-a")</f>
        <v>UA-2022-09-23-010387-a</v>
      </c>
      <c r="C141" s="2" t="s">
        <v>1276</v>
      </c>
      <c r="D141" s="2" t="str">
        <f>HYPERLINK("https://my.zakupki.prom.ua/remote/dispatcher/state_contracting_view/14127206", "UA-2022-09-23-010387-a-c1")</f>
        <v>UA-2022-09-23-010387-a-c1</v>
      </c>
      <c r="E141" s="1" t="s">
        <v>1043</v>
      </c>
      <c r="F141" s="1" t="s">
        <v>1237</v>
      </c>
      <c r="G141" s="1" t="s">
        <v>1237</v>
      </c>
      <c r="H141" s="1" t="s">
        <v>561</v>
      </c>
      <c r="I141" s="1" t="s">
        <v>1175</v>
      </c>
      <c r="J141" s="1" t="s">
        <v>1140</v>
      </c>
      <c r="K141" s="1" t="s">
        <v>344</v>
      </c>
      <c r="L141" s="1" t="s">
        <v>314</v>
      </c>
      <c r="M141" s="5">
        <v>6720</v>
      </c>
      <c r="N141" s="6">
        <v>44826</v>
      </c>
      <c r="O141" s="6">
        <v>44926</v>
      </c>
      <c r="P141" s="1" t="s">
        <v>1674</v>
      </c>
    </row>
    <row r="142" spans="1:16" hidden="1">
      <c r="A142" s="4">
        <v>225</v>
      </c>
      <c r="B142" s="2" t="str">
        <f>HYPERLINK("https://my.zakupki.prom.ua/remote/dispatcher/state_purchase_view/37662416", "UA-2022-09-23-003808-a")</f>
        <v>UA-2022-09-23-003808-a</v>
      </c>
      <c r="C142" s="2" t="s">
        <v>1276</v>
      </c>
      <c r="D142" s="2" t="str">
        <f>HYPERLINK("https://my.zakupki.prom.ua/remote/dispatcher/state_contracting_view/14120648", "UA-2022-09-23-003808-a-a1")</f>
        <v>UA-2022-09-23-003808-a-a1</v>
      </c>
      <c r="E142" s="1" t="s">
        <v>575</v>
      </c>
      <c r="F142" s="1" t="s">
        <v>1393</v>
      </c>
      <c r="G142" s="1" t="s">
        <v>1393</v>
      </c>
      <c r="H142" s="1" t="s">
        <v>608</v>
      </c>
      <c r="I142" s="1" t="s">
        <v>1175</v>
      </c>
      <c r="J142" s="1" t="s">
        <v>1202</v>
      </c>
      <c r="K142" s="1" t="s">
        <v>289</v>
      </c>
      <c r="L142" s="1" t="s">
        <v>104</v>
      </c>
      <c r="M142" s="5">
        <v>700</v>
      </c>
      <c r="N142" s="6">
        <v>44825</v>
      </c>
      <c r="O142" s="6">
        <v>44926</v>
      </c>
      <c r="P142" s="1" t="s">
        <v>1674</v>
      </c>
    </row>
    <row r="143" spans="1:16" hidden="1">
      <c r="A143" s="4">
        <v>226</v>
      </c>
      <c r="B143" s="2" t="str">
        <f>HYPERLINK("https://my.zakupki.prom.ua/remote/dispatcher/state_purchase_view/38154116", "UA-2022-10-25-008371-a")</f>
        <v>UA-2022-10-25-008371-a</v>
      </c>
      <c r="C143" s="2" t="s">
        <v>1276</v>
      </c>
      <c r="D143" s="2" t="str">
        <f>HYPERLINK("https://my.zakupki.prom.ua/remote/dispatcher/state_contracting_view/14365848", "UA-2022-10-25-008371-a-c1")</f>
        <v>UA-2022-10-25-008371-a-c1</v>
      </c>
      <c r="E143" s="1" t="s">
        <v>952</v>
      </c>
      <c r="F143" s="1" t="s">
        <v>1557</v>
      </c>
      <c r="G143" s="1" t="s">
        <v>1557</v>
      </c>
      <c r="H143" s="1" t="s">
        <v>757</v>
      </c>
      <c r="I143" s="1" t="s">
        <v>1175</v>
      </c>
      <c r="J143" s="1" t="s">
        <v>1665</v>
      </c>
      <c r="K143" s="1" t="s">
        <v>394</v>
      </c>
      <c r="L143" s="1" t="s">
        <v>521</v>
      </c>
      <c r="M143" s="5">
        <v>800</v>
      </c>
      <c r="N143" s="6">
        <v>44858</v>
      </c>
      <c r="O143" s="6">
        <v>44926</v>
      </c>
      <c r="P143" s="1" t="s">
        <v>1674</v>
      </c>
    </row>
    <row r="144" spans="1:16" hidden="1">
      <c r="A144" s="4">
        <v>227</v>
      </c>
      <c r="B144" s="2" t="str">
        <f>HYPERLINK("https://my.zakupki.prom.ua/remote/dispatcher/state_purchase_view/38417951", "UA-2022-11-08-007775-a")</f>
        <v>UA-2022-11-08-007775-a</v>
      </c>
      <c r="C144" s="2" t="s">
        <v>1276</v>
      </c>
      <c r="D144" s="2" t="str">
        <f>HYPERLINK("https://my.zakupki.prom.ua/remote/dispatcher/state_contracting_view/14492742", "UA-2022-11-08-007775-a-b1")</f>
        <v>UA-2022-11-08-007775-a-b1</v>
      </c>
      <c r="E144" s="1" t="s">
        <v>867</v>
      </c>
      <c r="F144" s="1" t="s">
        <v>1492</v>
      </c>
      <c r="G144" s="1" t="s">
        <v>1492</v>
      </c>
      <c r="H144" s="1" t="s">
        <v>259</v>
      </c>
      <c r="I144" s="1" t="s">
        <v>1175</v>
      </c>
      <c r="J144" s="1" t="s">
        <v>1604</v>
      </c>
      <c r="K144" s="1" t="s">
        <v>359</v>
      </c>
      <c r="L144" s="1" t="s">
        <v>507</v>
      </c>
      <c r="M144" s="5">
        <v>258</v>
      </c>
      <c r="N144" s="6">
        <v>44872</v>
      </c>
      <c r="O144" s="6">
        <v>44926</v>
      </c>
      <c r="P144" s="1" t="s">
        <v>1674</v>
      </c>
    </row>
    <row r="145" spans="1:16" hidden="1">
      <c r="A145" s="4">
        <v>228</v>
      </c>
      <c r="B145" s="2" t="str">
        <f>HYPERLINK("https://my.zakupki.prom.ua/remote/dispatcher/state_purchase_view/38578304", "UA-2022-11-15-009453-a")</f>
        <v>UA-2022-11-15-009453-a</v>
      </c>
      <c r="C145" s="2" t="s">
        <v>1276</v>
      </c>
      <c r="D145" s="2" t="str">
        <f>HYPERLINK("https://my.zakupki.prom.ua/remote/dispatcher/state_contracting_view/14566590", "UA-2022-11-15-009453-a-a1")</f>
        <v>UA-2022-11-15-009453-a-a1</v>
      </c>
      <c r="E145" s="1" t="s">
        <v>646</v>
      </c>
      <c r="F145" s="1" t="s">
        <v>1509</v>
      </c>
      <c r="G145" s="1" t="s">
        <v>1509</v>
      </c>
      <c r="H145" s="1" t="s">
        <v>467</v>
      </c>
      <c r="I145" s="1" t="s">
        <v>1175</v>
      </c>
      <c r="J145" s="1" t="s">
        <v>1604</v>
      </c>
      <c r="K145" s="1" t="s">
        <v>359</v>
      </c>
      <c r="L145" s="1" t="s">
        <v>525</v>
      </c>
      <c r="M145" s="5">
        <v>2769</v>
      </c>
      <c r="N145" s="6">
        <v>44880</v>
      </c>
      <c r="O145" s="6">
        <v>44926</v>
      </c>
      <c r="P145" s="1" t="s">
        <v>1674</v>
      </c>
    </row>
    <row r="146" spans="1:16" hidden="1">
      <c r="A146" s="4">
        <v>229</v>
      </c>
      <c r="B146" s="2" t="str">
        <f>HYPERLINK("https://my.zakupki.prom.ua/remote/dispatcher/state_purchase_view/35603339", "UA-2022-03-09-003021-a")</f>
        <v>UA-2022-03-09-003021-a</v>
      </c>
      <c r="C146" s="2" t="s">
        <v>1276</v>
      </c>
      <c r="D146" s="2" t="str">
        <f>HYPERLINK("https://my.zakupki.prom.ua/remote/dispatcher/state_contracting_view/13098423", "UA-2022-03-09-003021-a-a1")</f>
        <v>UA-2022-03-09-003021-a-a1</v>
      </c>
      <c r="E146" s="1" t="s">
        <v>667</v>
      </c>
      <c r="F146" s="1" t="s">
        <v>1252</v>
      </c>
      <c r="G146" s="1" t="s">
        <v>1252</v>
      </c>
      <c r="H146" s="1" t="s">
        <v>657</v>
      </c>
      <c r="I146" s="1" t="s">
        <v>1175</v>
      </c>
      <c r="J146" s="1" t="s">
        <v>1187</v>
      </c>
      <c r="K146" s="1" t="s">
        <v>566</v>
      </c>
      <c r="L146" s="1" t="s">
        <v>148</v>
      </c>
      <c r="M146" s="5">
        <v>11671.04</v>
      </c>
      <c r="N146" s="6">
        <v>44629</v>
      </c>
      <c r="O146" s="6">
        <v>44926</v>
      </c>
      <c r="P146" s="1" t="s">
        <v>1674</v>
      </c>
    </row>
    <row r="147" spans="1:16" hidden="1">
      <c r="A147" s="4">
        <v>230</v>
      </c>
      <c r="B147" s="2" t="str">
        <f>HYPERLINK("https://my.zakupki.prom.ua/remote/dispatcher/state_purchase_view/37581401", "UA-2022-09-19-010405-a")</f>
        <v>UA-2022-09-19-010405-a</v>
      </c>
      <c r="C147" s="2" t="s">
        <v>1276</v>
      </c>
      <c r="D147" s="2" t="str">
        <f>HYPERLINK("https://my.zakupki.prom.ua/remote/dispatcher/state_contracting_view/14081039", "UA-2022-09-19-010405-a-b1")</f>
        <v>UA-2022-09-19-010405-a-b1</v>
      </c>
      <c r="E147" s="1" t="s">
        <v>1010</v>
      </c>
      <c r="F147" s="1" t="s">
        <v>1233</v>
      </c>
      <c r="G147" s="1" t="s">
        <v>1233</v>
      </c>
      <c r="H147" s="1" t="s">
        <v>663</v>
      </c>
      <c r="I147" s="1" t="s">
        <v>1175</v>
      </c>
      <c r="J147" s="1" t="s">
        <v>1215</v>
      </c>
      <c r="K147" s="1" t="s">
        <v>3</v>
      </c>
      <c r="L147" s="1" t="s">
        <v>286</v>
      </c>
      <c r="M147" s="5">
        <v>2560.1999999999998</v>
      </c>
      <c r="N147" s="6">
        <v>44823</v>
      </c>
      <c r="O147" s="6">
        <v>44926</v>
      </c>
      <c r="P147" s="1" t="s">
        <v>1674</v>
      </c>
    </row>
    <row r="148" spans="1:16" hidden="1">
      <c r="A148" s="4">
        <v>231</v>
      </c>
      <c r="B148" s="2" t="str">
        <f>HYPERLINK("https://my.zakupki.prom.ua/remote/dispatcher/state_purchase_view/37468977", "UA-2022-09-12-009812-a")</f>
        <v>UA-2022-09-12-009812-a</v>
      </c>
      <c r="C148" s="2" t="s">
        <v>1276</v>
      </c>
      <c r="D148" s="2" t="str">
        <f>HYPERLINK("https://my.zakupki.prom.ua/remote/dispatcher/state_contracting_view/14026282", "UA-2022-09-12-009812-a-b1")</f>
        <v>UA-2022-09-12-009812-a-b1</v>
      </c>
      <c r="E148" s="1" t="s">
        <v>1004</v>
      </c>
      <c r="F148" s="1" t="s">
        <v>1571</v>
      </c>
      <c r="G148" s="1" t="s">
        <v>1571</v>
      </c>
      <c r="H148" s="1" t="s">
        <v>495</v>
      </c>
      <c r="I148" s="1" t="s">
        <v>1175</v>
      </c>
      <c r="J148" s="1" t="s">
        <v>1619</v>
      </c>
      <c r="K148" s="1" t="s">
        <v>400</v>
      </c>
      <c r="L148" s="1" t="s">
        <v>162</v>
      </c>
      <c r="M148" s="5">
        <v>47080</v>
      </c>
      <c r="N148" s="6">
        <v>44816</v>
      </c>
      <c r="O148" s="6">
        <v>44926</v>
      </c>
      <c r="P148" s="1" t="s">
        <v>1674</v>
      </c>
    </row>
    <row r="149" spans="1:16" hidden="1">
      <c r="A149" s="4">
        <v>232</v>
      </c>
      <c r="B149" s="2" t="str">
        <f>HYPERLINK("https://my.zakupki.prom.ua/remote/dispatcher/state_purchase_view/35696265", "UA-2022-03-19-000038-a")</f>
        <v>UA-2022-03-19-000038-a</v>
      </c>
      <c r="C149" s="2" t="s">
        <v>1276</v>
      </c>
      <c r="D149" s="2" t="str">
        <f>HYPERLINK("https://my.zakupki.prom.ua/remote/dispatcher/state_contracting_view/13148811", "UA-2022-03-19-000038-a-a1")</f>
        <v>UA-2022-03-19-000038-a-a1</v>
      </c>
      <c r="E149" s="1" t="s">
        <v>840</v>
      </c>
      <c r="F149" s="1" t="s">
        <v>1549</v>
      </c>
      <c r="G149" s="1" t="s">
        <v>1549</v>
      </c>
      <c r="H149" s="1" t="s">
        <v>110</v>
      </c>
      <c r="I149" s="1" t="s">
        <v>1175</v>
      </c>
      <c r="J149" s="1" t="s">
        <v>1198</v>
      </c>
      <c r="K149" s="1" t="s">
        <v>476</v>
      </c>
      <c r="L149" s="1" t="s">
        <v>40</v>
      </c>
      <c r="M149" s="5">
        <v>3487.08</v>
      </c>
      <c r="N149" s="6">
        <v>44638</v>
      </c>
      <c r="O149" s="6">
        <v>44926</v>
      </c>
      <c r="P149" s="1" t="s">
        <v>1674</v>
      </c>
    </row>
    <row r="150" spans="1:16" hidden="1">
      <c r="A150" s="4">
        <v>233</v>
      </c>
      <c r="B150" s="2" t="str">
        <f>HYPERLINK("https://my.zakupki.prom.ua/remote/dispatcher/state_purchase_view/35696270", "UA-2022-03-19-000039-a")</f>
        <v>UA-2022-03-19-000039-a</v>
      </c>
      <c r="C150" s="2" t="s">
        <v>1276</v>
      </c>
      <c r="D150" s="2" t="str">
        <f>HYPERLINK("https://my.zakupki.prom.ua/remote/dispatcher/state_contracting_view/13148812", "UA-2022-03-19-000039-a-a1")</f>
        <v>UA-2022-03-19-000039-a-a1</v>
      </c>
      <c r="E150" s="1" t="s">
        <v>994</v>
      </c>
      <c r="F150" s="1" t="s">
        <v>1555</v>
      </c>
      <c r="G150" s="1" t="s">
        <v>1555</v>
      </c>
      <c r="H150" s="1" t="s">
        <v>714</v>
      </c>
      <c r="I150" s="1" t="s">
        <v>1175</v>
      </c>
      <c r="J150" s="1" t="s">
        <v>1198</v>
      </c>
      <c r="K150" s="1" t="s">
        <v>476</v>
      </c>
      <c r="L150" s="1" t="s">
        <v>43</v>
      </c>
      <c r="M150" s="5">
        <v>2417.36</v>
      </c>
      <c r="N150" s="6">
        <v>44638</v>
      </c>
      <c r="O150" s="6">
        <v>44926</v>
      </c>
      <c r="P150" s="1" t="s">
        <v>1674</v>
      </c>
    </row>
    <row r="151" spans="1:16" hidden="1">
      <c r="A151" s="4">
        <v>234</v>
      </c>
      <c r="B151" s="2" t="str">
        <f>HYPERLINK("https://my.zakupki.prom.ua/remote/dispatcher/state_purchase_view/36137647", "UA-2022-05-16-004994-a")</f>
        <v>UA-2022-05-16-004994-a</v>
      </c>
      <c r="C151" s="2" t="s">
        <v>1276</v>
      </c>
      <c r="D151" s="2" t="str">
        <f>HYPERLINK("https://my.zakupki.prom.ua/remote/dispatcher/state_contracting_view/13375298", "UA-2022-05-16-004994-a-a1")</f>
        <v>UA-2022-05-16-004994-a-a1</v>
      </c>
      <c r="E151" s="1" t="s">
        <v>928</v>
      </c>
      <c r="F151" s="1" t="s">
        <v>1239</v>
      </c>
      <c r="G151" s="1" t="s">
        <v>1239</v>
      </c>
      <c r="H151" s="1" t="s">
        <v>441</v>
      </c>
      <c r="I151" s="1" t="s">
        <v>1175</v>
      </c>
      <c r="J151" s="1" t="s">
        <v>1200</v>
      </c>
      <c r="K151" s="1" t="s">
        <v>198</v>
      </c>
      <c r="L151" s="1" t="s">
        <v>288</v>
      </c>
      <c r="M151" s="5">
        <v>24000</v>
      </c>
      <c r="N151" s="6">
        <v>44697</v>
      </c>
      <c r="O151" s="6">
        <v>44926</v>
      </c>
      <c r="P151" s="1" t="s">
        <v>1674</v>
      </c>
    </row>
    <row r="152" spans="1:16" hidden="1">
      <c r="A152" s="4">
        <v>235</v>
      </c>
      <c r="B152" s="2" t="str">
        <f>HYPERLINK("https://my.zakupki.prom.ua/remote/dispatcher/state_purchase_view/35734333", "UA-2022-03-23-003699-b")</f>
        <v>UA-2022-03-23-003699-b</v>
      </c>
      <c r="C152" s="2" t="s">
        <v>1276</v>
      </c>
      <c r="D152" s="2" t="str">
        <f>HYPERLINK("https://my.zakupki.prom.ua/remote/dispatcher/state_contracting_view/13168783", "UA-2022-03-23-003699-b-b1")</f>
        <v>UA-2022-03-23-003699-b-b1</v>
      </c>
      <c r="E152" s="1" t="s">
        <v>834</v>
      </c>
      <c r="F152" s="1" t="s">
        <v>1483</v>
      </c>
      <c r="G152" s="1" t="s">
        <v>1483</v>
      </c>
      <c r="H152" s="1" t="s">
        <v>586</v>
      </c>
      <c r="I152" s="1" t="s">
        <v>1175</v>
      </c>
      <c r="J152" s="1" t="s">
        <v>1085</v>
      </c>
      <c r="K152" s="1" t="s">
        <v>479</v>
      </c>
      <c r="L152" s="1" t="s">
        <v>130</v>
      </c>
      <c r="M152" s="5">
        <v>4398.75</v>
      </c>
      <c r="N152" s="6">
        <v>44641</v>
      </c>
      <c r="O152" s="6">
        <v>44926</v>
      </c>
      <c r="P152" s="1" t="s">
        <v>1674</v>
      </c>
    </row>
    <row r="153" spans="1:16" hidden="1">
      <c r="A153" s="4">
        <v>236</v>
      </c>
      <c r="B153" s="2" t="str">
        <f>HYPERLINK("https://my.zakupki.prom.ua/remote/dispatcher/state_purchase_view/36748141", "UA-2022-07-20-006491-a")</f>
        <v>UA-2022-07-20-006491-a</v>
      </c>
      <c r="C153" s="2" t="s">
        <v>1276</v>
      </c>
      <c r="D153" s="2" t="str">
        <f>HYPERLINK("https://my.zakupki.prom.ua/remote/dispatcher/state_contracting_view/13680584", "UA-2022-07-20-006491-a-b1")</f>
        <v>UA-2022-07-20-006491-a-b1</v>
      </c>
      <c r="E153" s="1" t="s">
        <v>843</v>
      </c>
      <c r="F153" s="1" t="s">
        <v>1475</v>
      </c>
      <c r="G153" s="1" t="s">
        <v>1475</v>
      </c>
      <c r="H153" s="1" t="s">
        <v>627</v>
      </c>
      <c r="I153" s="1" t="s">
        <v>1175</v>
      </c>
      <c r="J153" s="1" t="s">
        <v>1199</v>
      </c>
      <c r="K153" s="1" t="s">
        <v>472</v>
      </c>
      <c r="L153" s="1" t="s">
        <v>175</v>
      </c>
      <c r="M153" s="5">
        <v>1039</v>
      </c>
      <c r="N153" s="6">
        <v>44761</v>
      </c>
      <c r="O153" s="6">
        <v>44926</v>
      </c>
      <c r="P153" s="1" t="s">
        <v>1674</v>
      </c>
    </row>
    <row r="154" spans="1:16" hidden="1">
      <c r="A154" s="4">
        <v>237</v>
      </c>
      <c r="B154" s="2" t="str">
        <f>HYPERLINK("https://my.zakupki.prom.ua/remote/dispatcher/state_purchase_view/36290083", "UA-2022-06-06-001445-a")</f>
        <v>UA-2022-06-06-001445-a</v>
      </c>
      <c r="C154" s="2" t="s">
        <v>1276</v>
      </c>
      <c r="D154" s="2" t="str">
        <f>HYPERLINK("https://my.zakupki.prom.ua/remote/dispatcher/state_contracting_view/13461392", "UA-2022-06-06-001445-a-b1")</f>
        <v>UA-2022-06-06-001445-a-b1</v>
      </c>
      <c r="E154" s="1" t="s">
        <v>729</v>
      </c>
      <c r="F154" s="1" t="s">
        <v>1236</v>
      </c>
      <c r="G154" s="1" t="s">
        <v>1236</v>
      </c>
      <c r="H154" s="1" t="s">
        <v>440</v>
      </c>
      <c r="I154" s="1" t="s">
        <v>1175</v>
      </c>
      <c r="J154" s="1" t="s">
        <v>1200</v>
      </c>
      <c r="K154" s="1" t="s">
        <v>198</v>
      </c>
      <c r="L154" s="1" t="s">
        <v>399</v>
      </c>
      <c r="M154" s="5">
        <v>2991.99</v>
      </c>
      <c r="N154" s="6">
        <v>44715</v>
      </c>
      <c r="O154" s="6">
        <v>44926</v>
      </c>
      <c r="P154" s="1" t="s">
        <v>1674</v>
      </c>
    </row>
    <row r="155" spans="1:16" hidden="1">
      <c r="A155" s="4">
        <v>238</v>
      </c>
      <c r="B155" s="2" t="str">
        <f>HYPERLINK("https://my.zakupki.prom.ua/remote/dispatcher/state_purchase_view/36746646", "UA-2022-07-20-005703-a")</f>
        <v>UA-2022-07-20-005703-a</v>
      </c>
      <c r="C155" s="2" t="s">
        <v>1276</v>
      </c>
      <c r="D155" s="2" t="str">
        <f>HYPERLINK("https://my.zakupki.prom.ua/remote/dispatcher/state_contracting_view/13679880", "UA-2022-07-20-005703-a-b1")</f>
        <v>UA-2022-07-20-005703-a-b1</v>
      </c>
      <c r="E155" s="1" t="s">
        <v>865</v>
      </c>
      <c r="F155" s="1" t="s">
        <v>1426</v>
      </c>
      <c r="G155" s="1" t="s">
        <v>1426</v>
      </c>
      <c r="H155" s="1" t="s">
        <v>108</v>
      </c>
      <c r="I155" s="1" t="s">
        <v>1175</v>
      </c>
      <c r="J155" s="1" t="s">
        <v>1620</v>
      </c>
      <c r="K155" s="1" t="s">
        <v>378</v>
      </c>
      <c r="L155" s="1" t="s">
        <v>174</v>
      </c>
      <c r="M155" s="5">
        <v>1760</v>
      </c>
      <c r="N155" s="6">
        <v>44761</v>
      </c>
      <c r="O155" s="6">
        <v>44926</v>
      </c>
      <c r="P155" s="1" t="s">
        <v>1674</v>
      </c>
    </row>
    <row r="156" spans="1:16" hidden="1">
      <c r="A156" s="4">
        <v>239</v>
      </c>
      <c r="B156" s="2" t="str">
        <f>HYPERLINK("https://my.zakupki.prom.ua/remote/dispatcher/state_purchase_view/38186880", "UA-2022-10-26-012102-a")</f>
        <v>UA-2022-10-26-012102-a</v>
      </c>
      <c r="C156" s="2" t="s">
        <v>1276</v>
      </c>
      <c r="D156" s="2" t="str">
        <f>HYPERLINK("https://my.zakupki.prom.ua/remote/dispatcher/state_contracting_view/14382347", "UA-2022-10-26-012102-a-b1")</f>
        <v>UA-2022-10-26-012102-a-b1</v>
      </c>
      <c r="E156" s="1" t="s">
        <v>792</v>
      </c>
      <c r="F156" s="1" t="s">
        <v>1528</v>
      </c>
      <c r="G156" s="1" t="s">
        <v>1528</v>
      </c>
      <c r="H156" s="1" t="s">
        <v>660</v>
      </c>
      <c r="I156" s="1" t="s">
        <v>1175</v>
      </c>
      <c r="J156" s="1" t="s">
        <v>1629</v>
      </c>
      <c r="K156" s="1" t="s">
        <v>342</v>
      </c>
      <c r="L156" s="1" t="s">
        <v>346</v>
      </c>
      <c r="M156" s="5">
        <v>1579.2</v>
      </c>
      <c r="N156" s="6">
        <v>44858</v>
      </c>
      <c r="O156" s="6">
        <v>44926</v>
      </c>
      <c r="P156" s="1" t="s">
        <v>1674</v>
      </c>
    </row>
    <row r="157" spans="1:16" hidden="1">
      <c r="A157" s="4">
        <v>240</v>
      </c>
      <c r="B157" s="2" t="str">
        <f>HYPERLINK("https://my.zakupki.prom.ua/remote/dispatcher/state_purchase_view/38577334", "UA-2022-11-15-008926-a")</f>
        <v>UA-2022-11-15-008926-a</v>
      </c>
      <c r="C157" s="2" t="s">
        <v>1276</v>
      </c>
      <c r="D157" s="2" t="str">
        <f>HYPERLINK("https://my.zakupki.prom.ua/remote/dispatcher/state_contracting_view/14566288", "UA-2022-11-15-008926-a-c1")</f>
        <v>UA-2022-11-15-008926-a-c1</v>
      </c>
      <c r="E157" s="1" t="s">
        <v>720</v>
      </c>
      <c r="F157" s="1" t="s">
        <v>1494</v>
      </c>
      <c r="G157" s="1" t="s">
        <v>1494</v>
      </c>
      <c r="H157" s="1" t="s">
        <v>231</v>
      </c>
      <c r="I157" s="1" t="s">
        <v>1175</v>
      </c>
      <c r="J157" s="1" t="s">
        <v>1604</v>
      </c>
      <c r="K157" s="1" t="s">
        <v>359</v>
      </c>
      <c r="L157" s="1" t="s">
        <v>517</v>
      </c>
      <c r="M157" s="5">
        <v>296</v>
      </c>
      <c r="N157" s="6">
        <v>44880</v>
      </c>
      <c r="O157" s="6">
        <v>44926</v>
      </c>
      <c r="P157" s="1" t="s">
        <v>1674</v>
      </c>
    </row>
    <row r="158" spans="1:16" hidden="1">
      <c r="A158" s="4">
        <v>241</v>
      </c>
      <c r="B158" s="2" t="str">
        <f>HYPERLINK("https://my.zakupki.prom.ua/remote/dispatcher/state_purchase_view/38576009", "UA-2022-11-15-008259-a")</f>
        <v>UA-2022-11-15-008259-a</v>
      </c>
      <c r="C158" s="2" t="s">
        <v>1276</v>
      </c>
      <c r="D158" s="2" t="str">
        <f>HYPERLINK("https://my.zakupki.prom.ua/remote/dispatcher/state_contracting_view/14565467", "UA-2022-11-15-008259-a-c1")</f>
        <v>UA-2022-11-15-008259-a-c1</v>
      </c>
      <c r="E158" s="1" t="s">
        <v>903</v>
      </c>
      <c r="F158" s="1" t="s">
        <v>1491</v>
      </c>
      <c r="G158" s="1" t="s">
        <v>1491</v>
      </c>
      <c r="H158" s="1" t="s">
        <v>564</v>
      </c>
      <c r="I158" s="1" t="s">
        <v>1175</v>
      </c>
      <c r="J158" s="1" t="s">
        <v>1604</v>
      </c>
      <c r="K158" s="1" t="s">
        <v>359</v>
      </c>
      <c r="L158" s="1" t="s">
        <v>514</v>
      </c>
      <c r="M158" s="5">
        <v>1941.5</v>
      </c>
      <c r="N158" s="6">
        <v>44880</v>
      </c>
      <c r="O158" s="6">
        <v>44926</v>
      </c>
      <c r="P158" s="1" t="s">
        <v>1674</v>
      </c>
    </row>
    <row r="159" spans="1:16" hidden="1">
      <c r="A159" s="4">
        <v>242</v>
      </c>
      <c r="B159" s="2" t="str">
        <f>HYPERLINK("https://my.zakupki.prom.ua/remote/dispatcher/state_purchase_view/38122269", "UA-2022-10-24-004793-a")</f>
        <v>UA-2022-10-24-004793-a</v>
      </c>
      <c r="C159" s="2" t="s">
        <v>1276</v>
      </c>
      <c r="D159" s="2" t="str">
        <f>HYPERLINK("https://my.zakupki.prom.ua/remote/dispatcher/state_contracting_view/14349578", "UA-2022-10-24-004793-a-a1")</f>
        <v>UA-2022-10-24-004793-a-a1</v>
      </c>
      <c r="E159" s="1" t="s">
        <v>937</v>
      </c>
      <c r="F159" s="1" t="s">
        <v>1407</v>
      </c>
      <c r="G159" s="1" t="s">
        <v>1407</v>
      </c>
      <c r="H159" s="1" t="s">
        <v>440</v>
      </c>
      <c r="I159" s="1" t="s">
        <v>1175</v>
      </c>
      <c r="J159" s="1" t="s">
        <v>1193</v>
      </c>
      <c r="K159" s="1" t="s">
        <v>251</v>
      </c>
      <c r="L159" s="1" t="s">
        <v>140</v>
      </c>
      <c r="M159" s="5">
        <v>366.43</v>
      </c>
      <c r="N159" s="6">
        <v>44855</v>
      </c>
      <c r="O159" s="6">
        <v>44926</v>
      </c>
      <c r="P159" s="1" t="s">
        <v>1674</v>
      </c>
    </row>
    <row r="160" spans="1:16" hidden="1">
      <c r="A160" s="4">
        <v>243</v>
      </c>
      <c r="B160" s="2" t="str">
        <f>HYPERLINK("https://my.zakupki.prom.ua/remote/dispatcher/state_purchase_view/38407034", "UA-2022-11-08-002374-a")</f>
        <v>UA-2022-11-08-002374-a</v>
      </c>
      <c r="C160" s="2" t="s">
        <v>1276</v>
      </c>
      <c r="D160" s="2" t="str">
        <f>HYPERLINK("https://my.zakupki.prom.ua/remote/dispatcher/state_contracting_view/14487305", "UA-2022-11-08-002374-a-a1")</f>
        <v>UA-2022-11-08-002374-a-a1</v>
      </c>
      <c r="E160" s="1" t="s">
        <v>969</v>
      </c>
      <c r="F160" s="1" t="s">
        <v>1574</v>
      </c>
      <c r="G160" s="1" t="s">
        <v>1574</v>
      </c>
      <c r="H160" s="1" t="s">
        <v>524</v>
      </c>
      <c r="I160" s="1" t="s">
        <v>1175</v>
      </c>
      <c r="J160" s="1" t="s">
        <v>1645</v>
      </c>
      <c r="K160" s="1" t="s">
        <v>594</v>
      </c>
      <c r="L160" s="1" t="s">
        <v>75</v>
      </c>
      <c r="M160" s="5">
        <v>9300</v>
      </c>
      <c r="N160" s="6">
        <v>44872</v>
      </c>
      <c r="O160" s="6">
        <v>44926</v>
      </c>
      <c r="P160" s="1" t="s">
        <v>1674</v>
      </c>
    </row>
    <row r="161" spans="1:16" hidden="1">
      <c r="A161" s="4">
        <v>244</v>
      </c>
      <c r="B161" s="2" t="str">
        <f>HYPERLINK("https://my.zakupki.prom.ua/remote/dispatcher/state_purchase_view/34837070", "UA-2022-02-04-004767-b")</f>
        <v>UA-2022-02-04-004767-b</v>
      </c>
      <c r="C161" s="2" t="s">
        <v>1276</v>
      </c>
      <c r="D161" s="2" t="str">
        <f>HYPERLINK("https://my.zakupki.prom.ua/remote/dispatcher/state_contracting_view/12728497", "UA-2022-02-04-004767-b-b1")</f>
        <v>UA-2022-02-04-004767-b-b1</v>
      </c>
      <c r="E161" s="1" t="s">
        <v>783</v>
      </c>
      <c r="F161" s="1" t="s">
        <v>1255</v>
      </c>
      <c r="G161" s="1" t="s">
        <v>1255</v>
      </c>
      <c r="H161" s="1" t="s">
        <v>828</v>
      </c>
      <c r="I161" s="1" t="s">
        <v>1175</v>
      </c>
      <c r="J161" s="1" t="s">
        <v>1197</v>
      </c>
      <c r="K161" s="1" t="s">
        <v>437</v>
      </c>
      <c r="L161" s="1" t="s">
        <v>799</v>
      </c>
      <c r="M161" s="5">
        <v>150</v>
      </c>
      <c r="N161" s="6">
        <v>44594</v>
      </c>
      <c r="O161" s="6">
        <v>44926</v>
      </c>
      <c r="P161" s="1" t="s">
        <v>1674</v>
      </c>
    </row>
    <row r="162" spans="1:16" hidden="1">
      <c r="A162" s="4">
        <v>245</v>
      </c>
      <c r="B162" s="2" t="str">
        <f>HYPERLINK("https://my.zakupki.prom.ua/remote/dispatcher/state_purchase_view/38999276", "UA-2022-12-02-016699-a")</f>
        <v>UA-2022-12-02-016699-a</v>
      </c>
      <c r="C162" s="2" t="s">
        <v>1276</v>
      </c>
      <c r="D162" s="2" t="str">
        <f>HYPERLINK("https://my.zakupki.prom.ua/remote/dispatcher/state_contracting_view/14760132", "UA-2022-12-02-016699-a-b1")</f>
        <v>UA-2022-12-02-016699-a-b1</v>
      </c>
      <c r="E162" s="1" t="s">
        <v>863</v>
      </c>
      <c r="F162" s="1" t="s">
        <v>1155</v>
      </c>
      <c r="G162" s="1" t="s">
        <v>1155</v>
      </c>
      <c r="H162" s="1" t="s">
        <v>717</v>
      </c>
      <c r="I162" s="1" t="s">
        <v>1175</v>
      </c>
      <c r="J162" s="1" t="s">
        <v>1290</v>
      </c>
      <c r="K162" s="1" t="s">
        <v>333</v>
      </c>
      <c r="L162" s="1" t="s">
        <v>14</v>
      </c>
      <c r="M162" s="5">
        <v>334.12</v>
      </c>
      <c r="N162" s="6">
        <v>44895</v>
      </c>
      <c r="O162" s="6">
        <v>44926</v>
      </c>
      <c r="P162" s="1" t="s">
        <v>1674</v>
      </c>
    </row>
    <row r="163" spans="1:16" hidden="1">
      <c r="A163" s="4">
        <v>246</v>
      </c>
      <c r="B163" s="2" t="str">
        <f>HYPERLINK("https://my.zakupki.prom.ua/remote/dispatcher/state_purchase_view/38053591", "UA-2022-10-19-006725-a")</f>
        <v>UA-2022-10-19-006725-a</v>
      </c>
      <c r="C163" s="2" t="s">
        <v>1276</v>
      </c>
      <c r="D163" s="2" t="str">
        <f>HYPERLINK("https://my.zakupki.prom.ua/remote/dispatcher/state_contracting_view/14313479", "UA-2022-10-19-006725-a-c1")</f>
        <v>UA-2022-10-19-006725-a-c1</v>
      </c>
      <c r="E163" s="1" t="s">
        <v>1053</v>
      </c>
      <c r="F163" s="1" t="s">
        <v>1080</v>
      </c>
      <c r="G163" s="1" t="s">
        <v>876</v>
      </c>
      <c r="H163" s="1" t="s">
        <v>524</v>
      </c>
      <c r="I163" s="1" t="s">
        <v>1175</v>
      </c>
      <c r="J163" s="1" t="s">
        <v>1653</v>
      </c>
      <c r="K163" s="1" t="s">
        <v>512</v>
      </c>
      <c r="L163" s="1" t="s">
        <v>220</v>
      </c>
      <c r="M163" s="5">
        <v>14100</v>
      </c>
      <c r="N163" s="6">
        <v>44852</v>
      </c>
      <c r="O163" s="6">
        <v>44926</v>
      </c>
      <c r="P163" s="1" t="s">
        <v>1674</v>
      </c>
    </row>
    <row r="164" spans="1:16" hidden="1">
      <c r="A164" s="4">
        <v>247</v>
      </c>
      <c r="B164" s="2" t="str">
        <f>HYPERLINK("https://my.zakupki.prom.ua/remote/dispatcher/state_purchase_view/38998336", "UA-2022-12-02-016213-a")</f>
        <v>UA-2022-12-02-016213-a</v>
      </c>
      <c r="C164" s="2" t="s">
        <v>1276</v>
      </c>
      <c r="D164" s="2" t="str">
        <f>HYPERLINK("https://my.zakupki.prom.ua/remote/dispatcher/state_contracting_view/14759681", "UA-2022-12-02-016213-a-b1")</f>
        <v>UA-2022-12-02-016213-a-b1</v>
      </c>
      <c r="E164" s="1" t="s">
        <v>28</v>
      </c>
      <c r="F164" s="1" t="s">
        <v>1155</v>
      </c>
      <c r="G164" s="1" t="s">
        <v>1155</v>
      </c>
      <c r="H164" s="1" t="s">
        <v>717</v>
      </c>
      <c r="I164" s="1" t="s">
        <v>1175</v>
      </c>
      <c r="J164" s="1" t="s">
        <v>1290</v>
      </c>
      <c r="K164" s="1" t="s">
        <v>333</v>
      </c>
      <c r="L164" s="1" t="s">
        <v>158</v>
      </c>
      <c r="M164" s="5">
        <v>250.28</v>
      </c>
      <c r="N164" s="6">
        <v>44896</v>
      </c>
      <c r="O164" s="6">
        <v>44926</v>
      </c>
      <c r="P164" s="1" t="s">
        <v>1674</v>
      </c>
    </row>
    <row r="165" spans="1:16" hidden="1">
      <c r="A165" s="4">
        <v>248</v>
      </c>
      <c r="B165" s="2" t="str">
        <f>HYPERLINK("https://my.zakupki.prom.ua/remote/dispatcher/state_purchase_view/37033118", "UA-2022-08-11-008575-a")</f>
        <v>UA-2022-08-11-008575-a</v>
      </c>
      <c r="C165" s="2" t="s">
        <v>1276</v>
      </c>
      <c r="D165" s="2" t="str">
        <f>HYPERLINK("https://my.zakupki.prom.ua/remote/dispatcher/state_contracting_view/13815196", "UA-2022-08-11-008575-a-b1")</f>
        <v>UA-2022-08-11-008575-a-b1</v>
      </c>
      <c r="E165" s="1" t="s">
        <v>933</v>
      </c>
      <c r="F165" s="1" t="s">
        <v>1154</v>
      </c>
      <c r="G165" s="1" t="s">
        <v>1154</v>
      </c>
      <c r="H165" s="1" t="s">
        <v>717</v>
      </c>
      <c r="I165" s="1" t="s">
        <v>1175</v>
      </c>
      <c r="J165" s="1" t="s">
        <v>1290</v>
      </c>
      <c r="K165" s="1" t="s">
        <v>333</v>
      </c>
      <c r="L165" s="1" t="s">
        <v>17</v>
      </c>
      <c r="M165" s="5">
        <v>60</v>
      </c>
      <c r="N165" s="6">
        <v>44781</v>
      </c>
      <c r="O165" s="6">
        <v>44842</v>
      </c>
      <c r="P165" s="1" t="s">
        <v>1674</v>
      </c>
    </row>
    <row r="166" spans="1:16" hidden="1">
      <c r="A166" s="4">
        <v>249</v>
      </c>
      <c r="B166" s="2" t="str">
        <f>HYPERLINK("https://my.zakupki.prom.ua/remote/dispatcher/state_purchase_view/35827198", "UA-2022-04-04-002994-b")</f>
        <v>UA-2022-04-04-002994-b</v>
      </c>
      <c r="C166" s="2" t="s">
        <v>1276</v>
      </c>
      <c r="D166" s="2" t="str">
        <f>HYPERLINK("https://my.zakupki.prom.ua/remote/dispatcher/state_contracting_view/13217821", "UA-2022-04-04-002994-b-b1")</f>
        <v>UA-2022-04-04-002994-b-b1</v>
      </c>
      <c r="E166" s="1" t="s">
        <v>644</v>
      </c>
      <c r="F166" s="1" t="s">
        <v>1570</v>
      </c>
      <c r="G166" s="1" t="s">
        <v>1570</v>
      </c>
      <c r="H166" s="1" t="s">
        <v>524</v>
      </c>
      <c r="I166" s="1" t="s">
        <v>1175</v>
      </c>
      <c r="J166" s="1" t="s">
        <v>1645</v>
      </c>
      <c r="K166" s="1" t="s">
        <v>594</v>
      </c>
      <c r="L166" s="1" t="s">
        <v>47</v>
      </c>
      <c r="M166" s="5">
        <v>12738</v>
      </c>
      <c r="N166" s="6">
        <v>44652</v>
      </c>
      <c r="O166" s="6">
        <v>44712</v>
      </c>
      <c r="P166" s="1" t="s">
        <v>1676</v>
      </c>
    </row>
    <row r="167" spans="1:16" hidden="1">
      <c r="A167" s="4">
        <v>250</v>
      </c>
      <c r="B167" s="2" t="str">
        <f>HYPERLINK("https://my.zakupki.prom.ua/remote/dispatcher/state_purchase_view/34821143", "UA-2022-02-03-014680-b")</f>
        <v>UA-2022-02-03-014680-b</v>
      </c>
      <c r="C167" s="2" t="s">
        <v>1276</v>
      </c>
      <c r="D167" s="2" t="str">
        <f>HYPERLINK("https://my.zakupki.prom.ua/remote/dispatcher/state_contracting_view/12721049", "UA-2022-02-03-014680-b-b1")</f>
        <v>UA-2022-02-03-014680-b-b1</v>
      </c>
      <c r="E167" s="1" t="s">
        <v>150</v>
      </c>
      <c r="F167" s="1" t="s">
        <v>1585</v>
      </c>
      <c r="G167" s="1" t="s">
        <v>1585</v>
      </c>
      <c r="H167" s="1" t="s">
        <v>714</v>
      </c>
      <c r="I167" s="1" t="s">
        <v>1175</v>
      </c>
      <c r="J167" s="1" t="s">
        <v>1198</v>
      </c>
      <c r="K167" s="1" t="s">
        <v>476</v>
      </c>
      <c r="L167" s="1" t="s">
        <v>41</v>
      </c>
      <c r="M167" s="5">
        <v>2987</v>
      </c>
      <c r="N167" s="6">
        <v>44594</v>
      </c>
      <c r="O167" s="6">
        <v>44620</v>
      </c>
      <c r="P167" s="1" t="s">
        <v>1676</v>
      </c>
    </row>
    <row r="168" spans="1:16" hidden="1">
      <c r="A168" s="4">
        <v>251</v>
      </c>
      <c r="B168" s="2" t="str">
        <f>HYPERLINK("https://my.zakupki.prom.ua/remote/dispatcher/state_purchase_view/34820768", "UA-2022-02-03-014587-b")</f>
        <v>UA-2022-02-03-014587-b</v>
      </c>
      <c r="C168" s="2" t="s">
        <v>1276</v>
      </c>
      <c r="D168" s="2" t="str">
        <f>HYPERLINK("https://my.zakupki.prom.ua/remote/dispatcher/state_contracting_view/12720936", "UA-2022-02-03-014587-b-b1")</f>
        <v>UA-2022-02-03-014587-b-b1</v>
      </c>
      <c r="E168" s="1" t="s">
        <v>788</v>
      </c>
      <c r="F168" s="1" t="s">
        <v>1573</v>
      </c>
      <c r="G168" s="1" t="s">
        <v>1573</v>
      </c>
      <c r="H168" s="1" t="s">
        <v>110</v>
      </c>
      <c r="I168" s="1" t="s">
        <v>1175</v>
      </c>
      <c r="J168" s="1" t="s">
        <v>1198</v>
      </c>
      <c r="K168" s="1" t="s">
        <v>476</v>
      </c>
      <c r="L168" s="1" t="s">
        <v>42</v>
      </c>
      <c r="M168" s="5">
        <v>4500</v>
      </c>
      <c r="N168" s="6">
        <v>44594</v>
      </c>
      <c r="O168" s="6">
        <v>44620</v>
      </c>
      <c r="P168" s="1" t="s">
        <v>1676</v>
      </c>
    </row>
    <row r="169" spans="1:16" hidden="1">
      <c r="A169" s="4">
        <v>252</v>
      </c>
      <c r="B169" s="2" t="str">
        <f>HYPERLINK("https://my.zakupki.prom.ua/remote/dispatcher/state_purchase_view/28733035", "UA-2021-08-04-003807-b")</f>
        <v>UA-2021-08-04-003807-b</v>
      </c>
      <c r="C169" s="2" t="s">
        <v>1276</v>
      </c>
      <c r="D169" s="2" t="str">
        <f>HYPERLINK("https://my.zakupki.prom.ua/remote/dispatcher/state_contracting_view/9911098", "UA-2021-08-04-003807-b-b1")</f>
        <v>UA-2021-08-04-003807-b-b1</v>
      </c>
      <c r="E169" s="1" t="s">
        <v>775</v>
      </c>
      <c r="F169" s="1" t="s">
        <v>1388</v>
      </c>
      <c r="G169" s="1" t="s">
        <v>1388</v>
      </c>
      <c r="H169" s="1" t="s">
        <v>459</v>
      </c>
      <c r="I169" s="1" t="s">
        <v>1175</v>
      </c>
      <c r="J169" s="1" t="s">
        <v>1212</v>
      </c>
      <c r="K169" s="1" t="s">
        <v>448</v>
      </c>
      <c r="L169" s="1" t="s">
        <v>30</v>
      </c>
      <c r="M169" s="5">
        <v>919</v>
      </c>
      <c r="N169" s="6">
        <v>44411</v>
      </c>
      <c r="O169" s="6">
        <v>44561</v>
      </c>
      <c r="P169" s="1" t="s">
        <v>1674</v>
      </c>
    </row>
    <row r="170" spans="1:16" hidden="1">
      <c r="A170" s="4">
        <v>253</v>
      </c>
      <c r="B170" s="2" t="str">
        <f>HYPERLINK("https://my.zakupki.prom.ua/remote/dispatcher/state_purchase_view/26518979", "UA-2021-05-13-004515-c")</f>
        <v>UA-2021-05-13-004515-c</v>
      </c>
      <c r="C170" s="2" t="s">
        <v>1276</v>
      </c>
      <c r="D170" s="2" t="str">
        <f>HYPERLINK("https://my.zakupki.prom.ua/remote/dispatcher/state_contracting_view/8863673", "UA-2021-05-13-004515-c-c1")</f>
        <v>UA-2021-05-13-004515-c-c1</v>
      </c>
      <c r="E170" s="1" t="s">
        <v>697</v>
      </c>
      <c r="F170" s="1" t="s">
        <v>1435</v>
      </c>
      <c r="G170" s="1" t="s">
        <v>1435</v>
      </c>
      <c r="H170" s="1" t="s">
        <v>613</v>
      </c>
      <c r="I170" s="1" t="s">
        <v>1175</v>
      </c>
      <c r="J170" s="1" t="s">
        <v>1673</v>
      </c>
      <c r="K170" s="1" t="s">
        <v>375</v>
      </c>
      <c r="L170" s="1" t="s">
        <v>131</v>
      </c>
      <c r="M170" s="5">
        <v>1330</v>
      </c>
      <c r="N170" s="6">
        <v>44329</v>
      </c>
      <c r="O170" s="6">
        <v>44561</v>
      </c>
      <c r="P170" s="1" t="s">
        <v>1674</v>
      </c>
    </row>
    <row r="171" spans="1:16" hidden="1">
      <c r="A171" s="4">
        <v>254</v>
      </c>
      <c r="B171" s="2" t="str">
        <f>HYPERLINK("https://my.zakupki.prom.ua/remote/dispatcher/state_purchase_view/25884494", "UA-2021-04-16-001518-b")</f>
        <v>UA-2021-04-16-001518-b</v>
      </c>
      <c r="C171" s="2" t="s">
        <v>1276</v>
      </c>
      <c r="D171" s="2" t="str">
        <f>HYPERLINK("https://my.zakupki.prom.ua/remote/dispatcher/state_contracting_view/8558075", "UA-2021-04-16-001518-b-b1")</f>
        <v>UA-2021-04-16-001518-b-b1</v>
      </c>
      <c r="E171" s="1" t="s">
        <v>920</v>
      </c>
      <c r="F171" s="1" t="s">
        <v>1536</v>
      </c>
      <c r="G171" s="1" t="s">
        <v>1536</v>
      </c>
      <c r="H171" s="1" t="s">
        <v>655</v>
      </c>
      <c r="I171" s="1" t="s">
        <v>1175</v>
      </c>
      <c r="J171" s="1" t="s">
        <v>1138</v>
      </c>
      <c r="K171" s="1" t="s">
        <v>383</v>
      </c>
      <c r="L171" s="1" t="s">
        <v>194</v>
      </c>
      <c r="M171" s="5">
        <v>2200</v>
      </c>
      <c r="N171" s="6">
        <v>44301</v>
      </c>
      <c r="O171" s="6">
        <v>44561</v>
      </c>
      <c r="P171" s="1" t="s">
        <v>1674</v>
      </c>
    </row>
    <row r="172" spans="1:16" hidden="1">
      <c r="A172" s="4">
        <v>255</v>
      </c>
      <c r="B172" s="2" t="str">
        <f>HYPERLINK("https://my.zakupki.prom.ua/remote/dispatcher/state_purchase_view/25893625", "UA-2021-04-16-001807-c")</f>
        <v>UA-2021-04-16-001807-c</v>
      </c>
      <c r="C172" s="2" t="s">
        <v>1276</v>
      </c>
      <c r="D172" s="2" t="str">
        <f>HYPERLINK("https://my.zakupki.prom.ua/remote/dispatcher/state_contracting_view/8562385", "UA-2021-04-16-001807-c-c1")</f>
        <v>UA-2021-04-16-001807-c-c1</v>
      </c>
      <c r="E172" s="1" t="s">
        <v>919</v>
      </c>
      <c r="F172" s="1" t="s">
        <v>1406</v>
      </c>
      <c r="G172" s="1" t="s">
        <v>1406</v>
      </c>
      <c r="H172" s="1" t="s">
        <v>625</v>
      </c>
      <c r="I172" s="1" t="s">
        <v>1175</v>
      </c>
      <c r="J172" s="1" t="s">
        <v>1212</v>
      </c>
      <c r="K172" s="1" t="s">
        <v>448</v>
      </c>
      <c r="L172" s="1" t="s">
        <v>203</v>
      </c>
      <c r="M172" s="5">
        <v>310.5</v>
      </c>
      <c r="N172" s="6">
        <v>44301</v>
      </c>
      <c r="O172" s="6">
        <v>44561</v>
      </c>
      <c r="P172" s="1" t="s">
        <v>1674</v>
      </c>
    </row>
    <row r="173" spans="1:16" hidden="1">
      <c r="A173" s="4">
        <v>256</v>
      </c>
      <c r="B173" s="2" t="str">
        <f>HYPERLINK("https://my.zakupki.prom.ua/remote/dispatcher/state_purchase_view/26212789", "UA-2021-04-28-001845-b")</f>
        <v>UA-2021-04-28-001845-b</v>
      </c>
      <c r="C173" s="2" t="s">
        <v>1276</v>
      </c>
      <c r="D173" s="2" t="str">
        <f>HYPERLINK("https://my.zakupki.prom.ua/remote/dispatcher/state_contracting_view/8716675", "UA-2021-04-28-001845-b-b1")</f>
        <v>UA-2021-04-28-001845-b-b1</v>
      </c>
      <c r="E173" s="1" t="s">
        <v>576</v>
      </c>
      <c r="F173" s="1" t="s">
        <v>1559</v>
      </c>
      <c r="G173" s="1" t="s">
        <v>1558</v>
      </c>
      <c r="H173" s="1" t="s">
        <v>757</v>
      </c>
      <c r="I173" s="1" t="s">
        <v>1175</v>
      </c>
      <c r="J173" s="1" t="s">
        <v>1665</v>
      </c>
      <c r="K173" s="1" t="s">
        <v>394</v>
      </c>
      <c r="L173" s="1" t="s">
        <v>290</v>
      </c>
      <c r="M173" s="5">
        <v>400</v>
      </c>
      <c r="N173" s="6">
        <v>44312</v>
      </c>
      <c r="O173" s="6">
        <v>44561</v>
      </c>
      <c r="P173" s="1" t="s">
        <v>1674</v>
      </c>
    </row>
    <row r="174" spans="1:16" hidden="1">
      <c r="A174" s="4">
        <v>257</v>
      </c>
      <c r="B174" s="2" t="str">
        <f>HYPERLINK("https://my.zakupki.prom.ua/remote/dispatcher/state_purchase_view/31498605", "UA-2021-11-05-015480-b")</f>
        <v>UA-2021-11-05-015480-b</v>
      </c>
      <c r="C174" s="2" t="s">
        <v>1276</v>
      </c>
      <c r="D174" s="2" t="str">
        <f>HYPERLINK("https://my.zakupki.prom.ua/remote/dispatcher/state_contracting_view/11189563", "UA-2021-11-05-015480-b-b1")</f>
        <v>UA-2021-11-05-015480-b-b1</v>
      </c>
      <c r="E174" s="1" t="s">
        <v>712</v>
      </c>
      <c r="F174" s="1" t="s">
        <v>1234</v>
      </c>
      <c r="G174" s="1" t="s">
        <v>1234</v>
      </c>
      <c r="H174" s="1" t="s">
        <v>743</v>
      </c>
      <c r="I174" s="1" t="s">
        <v>1175</v>
      </c>
      <c r="J174" s="1" t="s">
        <v>1197</v>
      </c>
      <c r="K174" s="1" t="s">
        <v>437</v>
      </c>
      <c r="L174" s="1" t="s">
        <v>455</v>
      </c>
      <c r="M174" s="5">
        <v>1902.42</v>
      </c>
      <c r="N174" s="6">
        <v>44503</v>
      </c>
      <c r="O174" s="6">
        <v>44561</v>
      </c>
      <c r="P174" s="1" t="s">
        <v>1674</v>
      </c>
    </row>
    <row r="175" spans="1:16" hidden="1">
      <c r="A175" s="4">
        <v>258</v>
      </c>
      <c r="B175" s="2" t="str">
        <f>HYPERLINK("https://my.zakupki.prom.ua/remote/dispatcher/state_purchase_view/24969696", "UA-2021-03-17-003278-c")</f>
        <v>UA-2021-03-17-003278-c</v>
      </c>
      <c r="C175" s="2" t="s">
        <v>1276</v>
      </c>
      <c r="D175" s="2" t="str">
        <f>HYPERLINK("https://my.zakupki.prom.ua/remote/dispatcher/state_contracting_view/8122447", "UA-2021-03-17-003278-c-c1")</f>
        <v>UA-2021-03-17-003278-c-c1</v>
      </c>
      <c r="E175" s="1" t="s">
        <v>1037</v>
      </c>
      <c r="F175" s="1" t="s">
        <v>1443</v>
      </c>
      <c r="G175" s="1" t="s">
        <v>1443</v>
      </c>
      <c r="H175" s="1" t="s">
        <v>627</v>
      </c>
      <c r="I175" s="1" t="s">
        <v>1175</v>
      </c>
      <c r="J175" s="1" t="s">
        <v>1202</v>
      </c>
      <c r="K175" s="1" t="s">
        <v>289</v>
      </c>
      <c r="L175" s="1" t="s">
        <v>206</v>
      </c>
      <c r="M175" s="5">
        <v>310</v>
      </c>
      <c r="N175" s="6">
        <v>44271</v>
      </c>
      <c r="O175" s="6">
        <v>44561</v>
      </c>
      <c r="P175" s="1" t="s">
        <v>1674</v>
      </c>
    </row>
    <row r="176" spans="1:16" hidden="1">
      <c r="A176" s="4">
        <v>259</v>
      </c>
      <c r="B176" s="2" t="str">
        <f>HYPERLINK("https://my.zakupki.prom.ua/remote/dispatcher/state_purchase_view/32301427", "UA-2021-11-26-013525-a")</f>
        <v>UA-2021-11-26-013525-a</v>
      </c>
      <c r="C176" s="2" t="s">
        <v>1276</v>
      </c>
      <c r="D176" s="2" t="str">
        <f>HYPERLINK("https://my.zakupki.prom.ua/remote/dispatcher/state_contracting_view/11558863", "UA-2021-11-26-013525-a-a1")</f>
        <v>UA-2021-11-26-013525-a-a1</v>
      </c>
      <c r="E176" s="1" t="s">
        <v>782</v>
      </c>
      <c r="F176" s="1" t="s">
        <v>1512</v>
      </c>
      <c r="G176" s="1" t="s">
        <v>1512</v>
      </c>
      <c r="H176" s="1" t="s">
        <v>500</v>
      </c>
      <c r="I176" s="1" t="s">
        <v>1175</v>
      </c>
      <c r="J176" s="1" t="s">
        <v>1212</v>
      </c>
      <c r="K176" s="1" t="s">
        <v>448</v>
      </c>
      <c r="L176" s="1" t="s">
        <v>721</v>
      </c>
      <c r="M176" s="5">
        <v>224</v>
      </c>
      <c r="N176" s="6">
        <v>44525</v>
      </c>
      <c r="O176" s="6">
        <v>44561</v>
      </c>
      <c r="P176" s="1" t="s">
        <v>1674</v>
      </c>
    </row>
    <row r="177" spans="1:16" hidden="1">
      <c r="A177" s="4">
        <v>260</v>
      </c>
      <c r="B177" s="2" t="str">
        <f>HYPERLINK("https://my.zakupki.prom.ua/remote/dispatcher/state_purchase_view/33450459", "UA-2021-12-21-004319-c")</f>
        <v>UA-2021-12-21-004319-c</v>
      </c>
      <c r="C177" s="2" t="s">
        <v>1276</v>
      </c>
      <c r="D177" s="2" t="str">
        <f>HYPERLINK("https://my.zakupki.prom.ua/remote/dispatcher/state_contracting_view/12102966", "UA-2021-12-21-004319-c-c1")</f>
        <v>UA-2021-12-21-004319-c-c1</v>
      </c>
      <c r="E177" s="1" t="s">
        <v>209</v>
      </c>
      <c r="F177" s="1" t="s">
        <v>1560</v>
      </c>
      <c r="G177" s="1" t="s">
        <v>1560</v>
      </c>
      <c r="H177" s="1" t="s">
        <v>633</v>
      </c>
      <c r="I177" s="1" t="s">
        <v>1175</v>
      </c>
      <c r="J177" s="1" t="s">
        <v>1197</v>
      </c>
      <c r="K177" s="1" t="s">
        <v>437</v>
      </c>
      <c r="L177" s="1" t="s">
        <v>1675</v>
      </c>
      <c r="M177" s="5">
        <v>908.7</v>
      </c>
      <c r="N177" s="6">
        <v>44550</v>
      </c>
      <c r="O177" s="6">
        <v>44561</v>
      </c>
      <c r="P177" s="1" t="s">
        <v>1674</v>
      </c>
    </row>
    <row r="178" spans="1:16" hidden="1">
      <c r="A178" s="4">
        <v>261</v>
      </c>
      <c r="B178" s="2" t="str">
        <f>HYPERLINK("https://my.zakupki.prom.ua/remote/dispatcher/state_purchase_view/32765312", "UA-2021-12-08-010065-c")</f>
        <v>UA-2021-12-08-010065-c</v>
      </c>
      <c r="C178" s="2" t="s">
        <v>1276</v>
      </c>
      <c r="D178" s="2" t="str">
        <f>HYPERLINK("https://my.zakupki.prom.ua/remote/dispatcher/state_contracting_view/11773307", "UA-2021-12-08-010065-c-c1")</f>
        <v>UA-2021-12-08-010065-c-c1</v>
      </c>
      <c r="E178" s="1" t="s">
        <v>955</v>
      </c>
      <c r="F178" s="1" t="s">
        <v>1544</v>
      </c>
      <c r="G178" s="1" t="s">
        <v>1544</v>
      </c>
      <c r="H178" s="1" t="s">
        <v>794</v>
      </c>
      <c r="I178" s="1" t="s">
        <v>1175</v>
      </c>
      <c r="J178" s="1" t="s">
        <v>1644</v>
      </c>
      <c r="K178" s="1" t="s">
        <v>595</v>
      </c>
      <c r="L178" s="1" t="s">
        <v>68</v>
      </c>
      <c r="M178" s="5">
        <v>4000</v>
      </c>
      <c r="N178" s="6">
        <v>44536</v>
      </c>
      <c r="O178" s="6">
        <v>44561</v>
      </c>
      <c r="P178" s="1" t="s">
        <v>1674</v>
      </c>
    </row>
    <row r="179" spans="1:16" hidden="1">
      <c r="A179" s="4">
        <v>262</v>
      </c>
      <c r="B179" s="2" t="str">
        <f>HYPERLINK("https://my.zakupki.prom.ua/remote/dispatcher/state_purchase_view/25057542", "UA-2021-03-19-000260-b")</f>
        <v>UA-2021-03-19-000260-b</v>
      </c>
      <c r="C179" s="2" t="s">
        <v>1276</v>
      </c>
      <c r="D179" s="2" t="str">
        <f>HYPERLINK("https://my.zakupki.prom.ua/remote/dispatcher/state_contracting_view/8164545", "UA-2021-03-19-000260-b-b1")</f>
        <v>UA-2021-03-19-000260-b-b1</v>
      </c>
      <c r="E179" s="1" t="s">
        <v>992</v>
      </c>
      <c r="F179" s="1" t="s">
        <v>1452</v>
      </c>
      <c r="G179" s="1" t="s">
        <v>1452</v>
      </c>
      <c r="H179" s="1" t="s">
        <v>625</v>
      </c>
      <c r="I179" s="1" t="s">
        <v>1175</v>
      </c>
      <c r="J179" s="1" t="s">
        <v>1202</v>
      </c>
      <c r="K179" s="1" t="s">
        <v>289</v>
      </c>
      <c r="L179" s="1" t="s">
        <v>224</v>
      </c>
      <c r="M179" s="5">
        <v>150</v>
      </c>
      <c r="N179" s="6">
        <v>44273</v>
      </c>
      <c r="O179" s="6">
        <v>44561</v>
      </c>
      <c r="P179" s="1" t="s">
        <v>1674</v>
      </c>
    </row>
    <row r="180" spans="1:16" hidden="1">
      <c r="A180" s="4">
        <v>263</v>
      </c>
      <c r="B180" s="2" t="str">
        <f>HYPERLINK("https://my.zakupki.prom.ua/remote/dispatcher/state_purchase_view/25255488", "UA-2021-03-26-000912-a")</f>
        <v>UA-2021-03-26-000912-a</v>
      </c>
      <c r="C180" s="2" t="s">
        <v>1276</v>
      </c>
      <c r="D180" s="2" t="str">
        <f>HYPERLINK("https://my.zakupki.prom.ua/remote/dispatcher/state_contracting_view/8277691", "UA-2021-03-26-000912-a-a1")</f>
        <v>UA-2021-03-26-000912-a-a1</v>
      </c>
      <c r="E180" s="1" t="s">
        <v>1040</v>
      </c>
      <c r="F180" s="1" t="s">
        <v>1523</v>
      </c>
      <c r="G180" s="1" t="s">
        <v>1523</v>
      </c>
      <c r="H180" s="1" t="s">
        <v>627</v>
      </c>
      <c r="I180" s="1" t="s">
        <v>1175</v>
      </c>
      <c r="J180" s="1" t="s">
        <v>1673</v>
      </c>
      <c r="K180" s="1" t="s">
        <v>375</v>
      </c>
      <c r="L180" s="1" t="s">
        <v>371</v>
      </c>
      <c r="M180" s="5">
        <v>128</v>
      </c>
      <c r="N180" s="6">
        <v>44280</v>
      </c>
      <c r="O180" s="6">
        <v>44561</v>
      </c>
      <c r="P180" s="1" t="s">
        <v>1674</v>
      </c>
    </row>
    <row r="181" spans="1:16" hidden="1">
      <c r="A181" s="4">
        <v>264</v>
      </c>
      <c r="B181" s="2" t="str">
        <f>HYPERLINK("https://my.zakupki.prom.ua/remote/dispatcher/state_purchase_view/23863349", "UA-2021-02-10-006518-a")</f>
        <v>UA-2021-02-10-006518-a</v>
      </c>
      <c r="C181" s="2" t="s">
        <v>1276</v>
      </c>
      <c r="D181" s="2" t="str">
        <f>HYPERLINK("https://my.zakupki.prom.ua/remote/dispatcher/state_contracting_view/7600707", "UA-2021-02-10-006518-a-a1")</f>
        <v>UA-2021-02-10-006518-a-a1</v>
      </c>
      <c r="E181" s="1" t="s">
        <v>298</v>
      </c>
      <c r="F181" s="1" t="s">
        <v>1362</v>
      </c>
      <c r="G181" s="1" t="s">
        <v>1362</v>
      </c>
      <c r="H181" s="1" t="s">
        <v>110</v>
      </c>
      <c r="I181" s="1" t="s">
        <v>1175</v>
      </c>
      <c r="J181" s="1" t="s">
        <v>1198</v>
      </c>
      <c r="K181" s="1" t="s">
        <v>476</v>
      </c>
      <c r="L181" s="1" t="s">
        <v>38</v>
      </c>
      <c r="M181" s="5">
        <v>4084</v>
      </c>
      <c r="N181" s="6">
        <v>44236</v>
      </c>
      <c r="O181" s="6">
        <v>44561</v>
      </c>
      <c r="P181" s="1" t="s">
        <v>1674</v>
      </c>
    </row>
    <row r="182" spans="1:16" hidden="1">
      <c r="A182" s="4">
        <v>265</v>
      </c>
      <c r="B182" s="2" t="str">
        <f>HYPERLINK("https://my.zakupki.prom.ua/remote/dispatcher/state_purchase_view/24092236", "UA-2021-02-17-003398-a")</f>
        <v>UA-2021-02-17-003398-a</v>
      </c>
      <c r="C182" s="2" t="s">
        <v>1276</v>
      </c>
      <c r="D182" s="2" t="str">
        <f>HYPERLINK("https://my.zakupki.prom.ua/remote/dispatcher/state_contracting_view/7705336", "UA-2021-02-17-003398-a-a1")</f>
        <v>UA-2021-02-17-003398-a-a1</v>
      </c>
      <c r="E182" s="1" t="s">
        <v>693</v>
      </c>
      <c r="F182" s="1" t="s">
        <v>1252</v>
      </c>
      <c r="G182" s="1" t="s">
        <v>1252</v>
      </c>
      <c r="H182" s="1" t="s">
        <v>657</v>
      </c>
      <c r="I182" s="1" t="s">
        <v>1175</v>
      </c>
      <c r="J182" s="1" t="s">
        <v>1187</v>
      </c>
      <c r="K182" s="1" t="s">
        <v>566</v>
      </c>
      <c r="L182" s="1" t="s">
        <v>147</v>
      </c>
      <c r="M182" s="5">
        <v>9043.2000000000007</v>
      </c>
      <c r="N182" s="6">
        <v>44243</v>
      </c>
      <c r="O182" s="6">
        <v>44561</v>
      </c>
      <c r="P182" s="1" t="s">
        <v>1674</v>
      </c>
    </row>
    <row r="183" spans="1:16" hidden="1">
      <c r="A183" s="4">
        <v>266</v>
      </c>
      <c r="B183" s="2" t="str">
        <f>HYPERLINK("https://my.zakupki.prom.ua/remote/dispatcher/state_purchase_view/24571857", "UA-2021-03-03-008150-c")</f>
        <v>UA-2021-03-03-008150-c</v>
      </c>
      <c r="C183" s="2" t="s">
        <v>1276</v>
      </c>
      <c r="D183" s="2" t="str">
        <f>HYPERLINK("https://my.zakupki.prom.ua/remote/dispatcher/state_contracting_view/7936032", "UA-2021-03-03-008150-c-c1")</f>
        <v>UA-2021-03-03-008150-c-c1</v>
      </c>
      <c r="E183" s="1" t="s">
        <v>117</v>
      </c>
      <c r="F183" s="1" t="s">
        <v>1530</v>
      </c>
      <c r="G183" s="1" t="s">
        <v>1317</v>
      </c>
      <c r="H183" s="1" t="s">
        <v>742</v>
      </c>
      <c r="I183" s="1" t="s">
        <v>1175</v>
      </c>
      <c r="J183" s="1" t="s">
        <v>1214</v>
      </c>
      <c r="K183" s="1" t="s">
        <v>330</v>
      </c>
      <c r="L183" s="1" t="s">
        <v>670</v>
      </c>
      <c r="M183" s="5">
        <v>16712.5</v>
      </c>
      <c r="N183" s="6">
        <v>44256</v>
      </c>
      <c r="O183" s="6">
        <v>44561</v>
      </c>
      <c r="P183" s="1" t="s">
        <v>1674</v>
      </c>
    </row>
    <row r="184" spans="1:16" hidden="1">
      <c r="A184" s="4">
        <v>267</v>
      </c>
      <c r="B184" s="2" t="str">
        <f>HYPERLINK("https://my.zakupki.prom.ua/remote/dispatcher/state_purchase_view/24821781", "UA-2021-03-12-001312-b")</f>
        <v>UA-2021-03-12-001312-b</v>
      </c>
      <c r="C184" s="2" t="s">
        <v>1276</v>
      </c>
      <c r="D184" s="2" t="str">
        <f>HYPERLINK("https://my.zakupki.prom.ua/remote/dispatcher/state_contracting_view/8051119", "UA-2021-03-12-001312-b-b1")</f>
        <v>UA-2021-03-12-001312-b-b1</v>
      </c>
      <c r="E184" s="1" t="s">
        <v>810</v>
      </c>
      <c r="F184" s="1" t="s">
        <v>1395</v>
      </c>
      <c r="G184" s="1" t="s">
        <v>1395</v>
      </c>
      <c r="H184" s="1" t="s">
        <v>615</v>
      </c>
      <c r="I184" s="1" t="s">
        <v>1175</v>
      </c>
      <c r="J184" s="1" t="s">
        <v>1605</v>
      </c>
      <c r="K184" s="1" t="s">
        <v>380</v>
      </c>
      <c r="L184" s="1" t="s">
        <v>136</v>
      </c>
      <c r="M184" s="5">
        <v>15200</v>
      </c>
      <c r="N184" s="6">
        <v>44265</v>
      </c>
      <c r="O184" s="6">
        <v>44561</v>
      </c>
      <c r="P184" s="1" t="s">
        <v>1674</v>
      </c>
    </row>
    <row r="185" spans="1:16" hidden="1">
      <c r="A185" s="4">
        <v>268</v>
      </c>
      <c r="B185" s="2" t="str">
        <f>HYPERLINK("https://my.zakupki.prom.ua/remote/dispatcher/state_purchase_view/24814509", "UA-2021-03-11-012859-b")</f>
        <v>UA-2021-03-11-012859-b</v>
      </c>
      <c r="C185" s="2" t="s">
        <v>1276</v>
      </c>
      <c r="D185" s="2" t="str">
        <f>HYPERLINK("https://my.zakupki.prom.ua/remote/dispatcher/state_contracting_view/8047667", "UA-2021-03-11-012859-b-b1")</f>
        <v>UA-2021-03-11-012859-b-b1</v>
      </c>
      <c r="E185" s="1" t="s">
        <v>896</v>
      </c>
      <c r="F185" s="1" t="s">
        <v>1479</v>
      </c>
      <c r="G185" s="1" t="s">
        <v>1479</v>
      </c>
      <c r="H185" s="1" t="s">
        <v>484</v>
      </c>
      <c r="I185" s="1" t="s">
        <v>1175</v>
      </c>
      <c r="J185" s="1" t="s">
        <v>1143</v>
      </c>
      <c r="K185" s="1" t="s">
        <v>449</v>
      </c>
      <c r="L185" s="1" t="s">
        <v>98</v>
      </c>
      <c r="M185" s="5">
        <v>8066</v>
      </c>
      <c r="N185" s="6">
        <v>44264</v>
      </c>
      <c r="O185" s="6">
        <v>44561</v>
      </c>
      <c r="P185" s="1" t="s">
        <v>1674</v>
      </c>
    </row>
    <row r="186" spans="1:16" hidden="1">
      <c r="A186" s="4">
        <v>269</v>
      </c>
      <c r="B186" s="2" t="str">
        <f>HYPERLINK("https://my.zakupki.prom.ua/remote/dispatcher/state_purchase_view/25256580", "UA-2021-03-26-001455-a")</f>
        <v>UA-2021-03-26-001455-a</v>
      </c>
      <c r="C186" s="2" t="s">
        <v>1276</v>
      </c>
      <c r="D186" s="2" t="str">
        <f>HYPERLINK("https://my.zakupki.prom.ua/remote/dispatcher/state_contracting_view/8278755", "UA-2021-03-26-001455-a-a1")</f>
        <v>UA-2021-03-26-001455-a-a1</v>
      </c>
      <c r="E186" s="1" t="s">
        <v>892</v>
      </c>
      <c r="F186" s="1" t="s">
        <v>1405</v>
      </c>
      <c r="G186" s="1" t="s">
        <v>1404</v>
      </c>
      <c r="H186" s="1" t="s">
        <v>461</v>
      </c>
      <c r="I186" s="1" t="s">
        <v>1175</v>
      </c>
      <c r="J186" s="1" t="s">
        <v>1650</v>
      </c>
      <c r="K186" s="1" t="s">
        <v>362</v>
      </c>
      <c r="L186" s="1" t="s">
        <v>387</v>
      </c>
      <c r="M186" s="5">
        <v>297.5</v>
      </c>
      <c r="N186" s="6">
        <v>44280</v>
      </c>
      <c r="O186" s="6">
        <v>44561</v>
      </c>
      <c r="P186" s="1" t="s">
        <v>1674</v>
      </c>
    </row>
    <row r="187" spans="1:16" hidden="1">
      <c r="A187" s="4">
        <v>270</v>
      </c>
      <c r="B187" s="2" t="str">
        <f>HYPERLINK("https://my.zakupki.prom.ua/remote/dispatcher/state_purchase_view/24965905", "UA-2021-03-17-001970-c")</f>
        <v>UA-2021-03-17-001970-c</v>
      </c>
      <c r="C187" s="2" t="s">
        <v>1276</v>
      </c>
      <c r="D187" s="2" t="str">
        <f>HYPERLINK("https://my.zakupki.prom.ua/remote/dispatcher/state_contracting_view/8120840", "UA-2021-03-17-001970-c-c1")</f>
        <v>UA-2021-03-17-001970-c-c1</v>
      </c>
      <c r="E187" s="1" t="s">
        <v>19</v>
      </c>
      <c r="F187" s="1" t="s">
        <v>1445</v>
      </c>
      <c r="G187" s="1" t="s">
        <v>1445</v>
      </c>
      <c r="H187" s="1" t="s">
        <v>553</v>
      </c>
      <c r="I187" s="1" t="s">
        <v>1175</v>
      </c>
      <c r="J187" s="1" t="s">
        <v>1202</v>
      </c>
      <c r="K187" s="1" t="s">
        <v>289</v>
      </c>
      <c r="L187" s="1" t="s">
        <v>206</v>
      </c>
      <c r="M187" s="5">
        <v>1141</v>
      </c>
      <c r="N187" s="6">
        <v>44271</v>
      </c>
      <c r="O187" s="6">
        <v>44561</v>
      </c>
      <c r="P187" s="1" t="s">
        <v>1674</v>
      </c>
    </row>
    <row r="188" spans="1:16" hidden="1">
      <c r="A188" s="4">
        <v>271</v>
      </c>
      <c r="B188" s="2" t="str">
        <f>HYPERLINK("https://my.zakupki.prom.ua/remote/dispatcher/state_purchase_view/24964965", "UA-2021-03-17-001651-c")</f>
        <v>UA-2021-03-17-001651-c</v>
      </c>
      <c r="C188" s="2" t="s">
        <v>1276</v>
      </c>
      <c r="D188" s="2" t="str">
        <f>HYPERLINK("https://my.zakupki.prom.ua/remote/dispatcher/state_contracting_view/8120395", "UA-2021-03-17-001651-c-c1")</f>
        <v>UA-2021-03-17-001651-c-c1</v>
      </c>
      <c r="E188" s="1" t="s">
        <v>985</v>
      </c>
      <c r="F188" s="1" t="s">
        <v>1439</v>
      </c>
      <c r="G188" s="1" t="s">
        <v>1439</v>
      </c>
      <c r="H188" s="1" t="s">
        <v>460</v>
      </c>
      <c r="I188" s="1" t="s">
        <v>1175</v>
      </c>
      <c r="J188" s="1" t="s">
        <v>1202</v>
      </c>
      <c r="K188" s="1" t="s">
        <v>289</v>
      </c>
      <c r="L188" s="1" t="s">
        <v>206</v>
      </c>
      <c r="M188" s="5">
        <v>322</v>
      </c>
      <c r="N188" s="6">
        <v>44271</v>
      </c>
      <c r="O188" s="6">
        <v>44561</v>
      </c>
      <c r="P188" s="1" t="s">
        <v>1674</v>
      </c>
    </row>
    <row r="189" spans="1:16" hidden="1">
      <c r="A189" s="4">
        <v>272</v>
      </c>
      <c r="B189" s="2" t="str">
        <f>HYPERLINK("https://my.zakupki.prom.ua/remote/dispatcher/state_purchase_view/25042610", "UA-2021-03-18-008063-a")</f>
        <v>UA-2021-03-18-008063-a</v>
      </c>
      <c r="C189" s="2" t="s">
        <v>1276</v>
      </c>
      <c r="D189" s="2" t="str">
        <f>HYPERLINK("https://my.zakupki.prom.ua/remote/dispatcher/state_contracting_view/8161510", "UA-2021-03-18-008063-a-a1")</f>
        <v>UA-2021-03-18-008063-a-a1</v>
      </c>
      <c r="E189" s="1" t="s">
        <v>713</v>
      </c>
      <c r="F189" s="1" t="s">
        <v>1396</v>
      </c>
      <c r="G189" s="1" t="s">
        <v>1396</v>
      </c>
      <c r="H189" s="1" t="s">
        <v>616</v>
      </c>
      <c r="I189" s="1" t="s">
        <v>1175</v>
      </c>
      <c r="J189" s="1" t="s">
        <v>1202</v>
      </c>
      <c r="K189" s="1" t="s">
        <v>289</v>
      </c>
      <c r="L189" s="1" t="s">
        <v>221</v>
      </c>
      <c r="M189" s="5">
        <v>10210</v>
      </c>
      <c r="N189" s="6">
        <v>44273</v>
      </c>
      <c r="O189" s="6">
        <v>44561</v>
      </c>
      <c r="P189" s="1" t="s">
        <v>1674</v>
      </c>
    </row>
    <row r="190" spans="1:16" hidden="1">
      <c r="A190" s="4">
        <v>273</v>
      </c>
      <c r="B190" s="2" t="str">
        <f>HYPERLINK("https://my.zakupki.prom.ua/remote/dispatcher/state_purchase_view/25069076", "UA-2021-03-19-002924-b")</f>
        <v>UA-2021-03-19-002924-b</v>
      </c>
      <c r="C190" s="2" t="s">
        <v>1276</v>
      </c>
      <c r="D190" s="2" t="str">
        <f>HYPERLINK("https://my.zakupki.prom.ua/remote/dispatcher/state_contracting_view/8171341", "UA-2021-03-19-002924-b-b1")</f>
        <v>UA-2021-03-19-002924-b-b1</v>
      </c>
      <c r="E190" s="1" t="s">
        <v>862</v>
      </c>
      <c r="F190" s="1" t="s">
        <v>1387</v>
      </c>
      <c r="G190" s="1" t="s">
        <v>1387</v>
      </c>
      <c r="H190" s="1" t="s">
        <v>550</v>
      </c>
      <c r="I190" s="1" t="s">
        <v>1175</v>
      </c>
      <c r="J190" s="1" t="s">
        <v>1192</v>
      </c>
      <c r="K190" s="1" t="s">
        <v>251</v>
      </c>
      <c r="L190" s="1" t="s">
        <v>225</v>
      </c>
      <c r="M190" s="5">
        <v>1248</v>
      </c>
      <c r="N190" s="6">
        <v>44273</v>
      </c>
      <c r="O190" s="6">
        <v>44561</v>
      </c>
      <c r="P190" s="1" t="s">
        <v>1674</v>
      </c>
    </row>
    <row r="191" spans="1:16" hidden="1">
      <c r="A191" s="4">
        <v>274</v>
      </c>
      <c r="B191" s="2" t="str">
        <f>HYPERLINK("https://my.zakupki.prom.ua/remote/dispatcher/state_purchase_view/25058212", "UA-2021-03-19-000418-b")</f>
        <v>UA-2021-03-19-000418-b</v>
      </c>
      <c r="C191" s="2" t="s">
        <v>1276</v>
      </c>
      <c r="D191" s="2" t="str">
        <f>HYPERLINK("https://my.zakupki.prom.ua/remote/dispatcher/state_contracting_view/8165678", "UA-2021-03-19-000418-b-b1")</f>
        <v>UA-2021-03-19-000418-b-b1</v>
      </c>
      <c r="E191" s="1" t="s">
        <v>1002</v>
      </c>
      <c r="F191" s="1" t="s">
        <v>1453</v>
      </c>
      <c r="G191" s="1" t="s">
        <v>1453</v>
      </c>
      <c r="H191" s="1" t="s">
        <v>627</v>
      </c>
      <c r="I191" s="1" t="s">
        <v>1175</v>
      </c>
      <c r="J191" s="1" t="s">
        <v>1202</v>
      </c>
      <c r="K191" s="1" t="s">
        <v>289</v>
      </c>
      <c r="L191" s="1" t="s">
        <v>224</v>
      </c>
      <c r="M191" s="5">
        <v>235</v>
      </c>
      <c r="N191" s="6">
        <v>44273</v>
      </c>
      <c r="O191" s="6">
        <v>44561</v>
      </c>
      <c r="P191" s="1" t="s">
        <v>1674</v>
      </c>
    </row>
    <row r="192" spans="1:16" hidden="1">
      <c r="A192" s="4">
        <v>275</v>
      </c>
      <c r="B192" s="2" t="str">
        <f>HYPERLINK("https://my.zakupki.prom.ua/remote/dispatcher/state_purchase_view/23805744", "UA-2021-02-09-004845-a")</f>
        <v>UA-2021-02-09-004845-a</v>
      </c>
      <c r="C192" s="2" t="s">
        <v>1276</v>
      </c>
      <c r="D192" s="2" t="str">
        <f>HYPERLINK("https://my.zakupki.prom.ua/remote/dispatcher/state_contracting_view/7574172", "UA-2021-02-09-004845-a-a1")</f>
        <v>UA-2021-02-09-004845-a-a1</v>
      </c>
      <c r="E192" s="1" t="s">
        <v>299</v>
      </c>
      <c r="F192" s="1" t="s">
        <v>1357</v>
      </c>
      <c r="G192" s="1" t="s">
        <v>1357</v>
      </c>
      <c r="H192" s="1" t="s">
        <v>109</v>
      </c>
      <c r="I192" s="1" t="s">
        <v>1175</v>
      </c>
      <c r="J192" s="1" t="s">
        <v>1146</v>
      </c>
      <c r="K192" s="1" t="s">
        <v>593</v>
      </c>
      <c r="L192" s="1" t="s">
        <v>128</v>
      </c>
      <c r="M192" s="5">
        <v>22173</v>
      </c>
      <c r="N192" s="6">
        <v>44231</v>
      </c>
      <c r="O192" s="6">
        <v>44561</v>
      </c>
      <c r="P192" s="1" t="s">
        <v>1674</v>
      </c>
    </row>
    <row r="193" spans="1:16" hidden="1">
      <c r="A193" s="4">
        <v>276</v>
      </c>
      <c r="B193" s="2" t="str">
        <f>HYPERLINK("https://my.zakupki.prom.ua/remote/dispatcher/state_purchase_view/25208628", "UA-2021-03-24-006955-b")</f>
        <v>UA-2021-03-24-006955-b</v>
      </c>
      <c r="C193" s="2" t="s">
        <v>1276</v>
      </c>
      <c r="D193" s="2" t="str">
        <f>HYPERLINK("https://my.zakupki.prom.ua/remote/dispatcher/state_contracting_view/8247074", "UA-2021-03-24-006955-b-b1")</f>
        <v>UA-2021-03-24-006955-b-b1</v>
      </c>
      <c r="E193" s="1" t="s">
        <v>941</v>
      </c>
      <c r="F193" s="1" t="s">
        <v>1520</v>
      </c>
      <c r="G193" s="1" t="s">
        <v>1520</v>
      </c>
      <c r="H193" s="1" t="s">
        <v>617</v>
      </c>
      <c r="I193" s="1" t="s">
        <v>1175</v>
      </c>
      <c r="J193" s="1" t="s">
        <v>1142</v>
      </c>
      <c r="K193" s="1" t="s">
        <v>340</v>
      </c>
      <c r="L193" s="1" t="s">
        <v>354</v>
      </c>
      <c r="M193" s="5">
        <v>1650</v>
      </c>
      <c r="N193" s="6">
        <v>44279</v>
      </c>
      <c r="O193" s="6">
        <v>44561</v>
      </c>
      <c r="P193" s="1" t="s">
        <v>1674</v>
      </c>
    </row>
    <row r="194" spans="1:16" hidden="1">
      <c r="A194" s="4">
        <v>277</v>
      </c>
      <c r="B194" s="2" t="str">
        <f>HYPERLINK("https://my.zakupki.prom.ua/remote/dispatcher/state_purchase_view/26519722", "UA-2021-05-13-004752-c")</f>
        <v>UA-2021-05-13-004752-c</v>
      </c>
      <c r="C194" s="2" t="s">
        <v>1276</v>
      </c>
      <c r="D194" s="2" t="str">
        <f>HYPERLINK("https://my.zakupki.prom.ua/remote/dispatcher/state_contracting_view/8864111", "UA-2021-05-13-004752-c-c1")</f>
        <v>UA-2021-05-13-004752-c-c1</v>
      </c>
      <c r="E194" s="1" t="s">
        <v>202</v>
      </c>
      <c r="F194" s="1" t="s">
        <v>0</v>
      </c>
      <c r="G194" s="1" t="s">
        <v>1434</v>
      </c>
      <c r="H194" s="1" t="s">
        <v>626</v>
      </c>
      <c r="I194" s="1" t="s">
        <v>1175</v>
      </c>
      <c r="J194" s="1" t="s">
        <v>1673</v>
      </c>
      <c r="K194" s="1" t="s">
        <v>375</v>
      </c>
      <c r="L194" s="1" t="s">
        <v>131</v>
      </c>
      <c r="M194" s="5">
        <v>845</v>
      </c>
      <c r="N194" s="6">
        <v>44329</v>
      </c>
      <c r="O194" s="6">
        <v>44561</v>
      </c>
      <c r="P194" s="1" t="s">
        <v>1674</v>
      </c>
    </row>
    <row r="195" spans="1:16" hidden="1">
      <c r="A195" s="4">
        <v>278</v>
      </c>
      <c r="B195" s="2" t="str">
        <f>HYPERLINK("https://my.zakupki.prom.ua/remote/dispatcher/state_purchase_view/27677269", "UA-2021-06-22-012497-c")</f>
        <v>UA-2021-06-22-012497-c</v>
      </c>
      <c r="C195" s="2" t="s">
        <v>1276</v>
      </c>
      <c r="D195" s="2" t="str">
        <f>HYPERLINK("https://my.zakupki.prom.ua/remote/dispatcher/state_contracting_view/9412599", "UA-2021-06-22-012497-c-c1")</f>
        <v>UA-2021-06-22-012497-c-c1</v>
      </c>
      <c r="E195" s="1" t="s">
        <v>744</v>
      </c>
      <c r="F195" s="1" t="s">
        <v>1235</v>
      </c>
      <c r="G195" s="1" t="s">
        <v>1235</v>
      </c>
      <c r="H195" s="1" t="s">
        <v>328</v>
      </c>
      <c r="I195" s="1" t="s">
        <v>1175</v>
      </c>
      <c r="J195" s="1" t="s">
        <v>1213</v>
      </c>
      <c r="K195" s="1" t="s">
        <v>376</v>
      </c>
      <c r="L195" s="1" t="s">
        <v>219</v>
      </c>
      <c r="M195" s="5">
        <v>1500</v>
      </c>
      <c r="N195" s="6">
        <v>44365</v>
      </c>
      <c r="O195" s="6">
        <v>44561</v>
      </c>
      <c r="P195" s="1" t="s">
        <v>1674</v>
      </c>
    </row>
    <row r="196" spans="1:16" hidden="1">
      <c r="A196" s="4">
        <v>279</v>
      </c>
      <c r="B196" s="2" t="str">
        <f>HYPERLINK("https://my.zakupki.prom.ua/remote/dispatcher/state_purchase_view/25889386", "UA-2021-04-16-003191-b")</f>
        <v>UA-2021-04-16-003191-b</v>
      </c>
      <c r="C196" s="2" t="s">
        <v>1276</v>
      </c>
      <c r="D196" s="2" t="str">
        <f>HYPERLINK("https://my.zakupki.prom.ua/remote/dispatcher/state_contracting_view/8560349", "UA-2021-04-16-003191-b-b1")</f>
        <v>UA-2021-04-16-003191-b-b1</v>
      </c>
      <c r="E196" s="1" t="s">
        <v>600</v>
      </c>
      <c r="F196" s="1" t="s">
        <v>1468</v>
      </c>
      <c r="G196" s="1" t="s">
        <v>1468</v>
      </c>
      <c r="H196" s="1" t="s">
        <v>471</v>
      </c>
      <c r="I196" s="1" t="s">
        <v>1175</v>
      </c>
      <c r="J196" s="1" t="s">
        <v>1202</v>
      </c>
      <c r="K196" s="1" t="s">
        <v>289</v>
      </c>
      <c r="L196" s="1" t="s">
        <v>184</v>
      </c>
      <c r="M196" s="5">
        <v>538</v>
      </c>
      <c r="N196" s="6">
        <v>44301</v>
      </c>
      <c r="O196" s="6">
        <v>44561</v>
      </c>
      <c r="P196" s="1" t="s">
        <v>1674</v>
      </c>
    </row>
    <row r="197" spans="1:16" hidden="1">
      <c r="A197" s="4">
        <v>280</v>
      </c>
      <c r="B197" s="2" t="str">
        <f>HYPERLINK("https://my.zakupki.prom.ua/remote/dispatcher/state_purchase_view/26612394", "UA-2021-05-18-000209-b")</f>
        <v>UA-2021-05-18-000209-b</v>
      </c>
      <c r="C197" s="2" t="s">
        <v>1276</v>
      </c>
      <c r="D197" s="2" t="str">
        <f>HYPERLINK("https://my.zakupki.prom.ua/remote/dispatcher/state_contracting_view/8907354", "UA-2021-05-18-000209-b-b1")</f>
        <v>UA-2021-05-18-000209-b-b1</v>
      </c>
      <c r="E197" s="1" t="s">
        <v>1073</v>
      </c>
      <c r="F197" s="1" t="s">
        <v>1551</v>
      </c>
      <c r="G197" s="1" t="s">
        <v>1551</v>
      </c>
      <c r="H197" s="1" t="s">
        <v>110</v>
      </c>
      <c r="I197" s="1" t="s">
        <v>1175</v>
      </c>
      <c r="J197" s="1" t="s">
        <v>1197</v>
      </c>
      <c r="K197" s="1" t="s">
        <v>437</v>
      </c>
      <c r="L197" s="1" t="s">
        <v>402</v>
      </c>
      <c r="M197" s="5">
        <v>10100</v>
      </c>
      <c r="N197" s="6">
        <v>44333</v>
      </c>
      <c r="O197" s="6">
        <v>44561</v>
      </c>
      <c r="P197" s="1" t="s">
        <v>1674</v>
      </c>
    </row>
    <row r="198" spans="1:16" hidden="1">
      <c r="A198" s="4">
        <v>281</v>
      </c>
      <c r="B198" s="2" t="str">
        <f>HYPERLINK("https://my.zakupki.prom.ua/remote/dispatcher/state_purchase_view/26362025", "UA-2021-05-06-009552-c")</f>
        <v>UA-2021-05-06-009552-c</v>
      </c>
      <c r="C198" s="2" t="s">
        <v>1276</v>
      </c>
      <c r="D198" s="2" t="str">
        <f>HYPERLINK("https://my.zakupki.prom.ua/remote/dispatcher/state_contracting_view/8788364", "UA-2021-05-06-009552-c-c1")</f>
        <v>UA-2021-05-06-009552-c-c1</v>
      </c>
      <c r="E198" s="1" t="s">
        <v>947</v>
      </c>
      <c r="F198" s="1" t="s">
        <v>1401</v>
      </c>
      <c r="G198" s="1" t="s">
        <v>1401</v>
      </c>
      <c r="H198" s="1" t="s">
        <v>103</v>
      </c>
      <c r="I198" s="1" t="s">
        <v>1175</v>
      </c>
      <c r="J198" s="1" t="s">
        <v>1631</v>
      </c>
      <c r="K198" s="1" t="s">
        <v>541</v>
      </c>
      <c r="L198" s="1" t="s">
        <v>57</v>
      </c>
      <c r="M198" s="5">
        <v>528</v>
      </c>
      <c r="N198" s="6">
        <v>44316</v>
      </c>
      <c r="O198" s="6">
        <v>44561</v>
      </c>
      <c r="P198" s="1" t="s">
        <v>1674</v>
      </c>
    </row>
    <row r="199" spans="1:16" hidden="1">
      <c r="A199" s="4">
        <v>282</v>
      </c>
      <c r="B199" s="2" t="str">
        <f>HYPERLINK("https://my.zakupki.prom.ua/remote/dispatcher/state_purchase_view/27885590", "UA-2021-07-01-005473-c")</f>
        <v>UA-2021-07-01-005473-c</v>
      </c>
      <c r="C199" s="2" t="s">
        <v>1276</v>
      </c>
      <c r="D199" s="2" t="str">
        <f>HYPERLINK("https://my.zakupki.prom.ua/remote/dispatcher/state_contracting_view/9512969", "UA-2021-07-01-005473-c-c1")</f>
        <v>UA-2021-07-01-005473-c-c1</v>
      </c>
      <c r="E199" s="1" t="s">
        <v>884</v>
      </c>
      <c r="F199" s="1" t="s">
        <v>1534</v>
      </c>
      <c r="G199" s="1" t="s">
        <v>1534</v>
      </c>
      <c r="H199" s="1" t="s">
        <v>661</v>
      </c>
      <c r="I199" s="1" t="s">
        <v>1175</v>
      </c>
      <c r="J199" s="1" t="s">
        <v>1215</v>
      </c>
      <c r="K199" s="1" t="s">
        <v>3</v>
      </c>
      <c r="L199" s="1" t="s">
        <v>416</v>
      </c>
      <c r="M199" s="5">
        <v>1485</v>
      </c>
      <c r="N199" s="6">
        <v>44376</v>
      </c>
      <c r="O199" s="6">
        <v>44561</v>
      </c>
      <c r="P199" s="1" t="s">
        <v>1674</v>
      </c>
    </row>
    <row r="200" spans="1:16" hidden="1">
      <c r="A200" s="4">
        <v>283</v>
      </c>
      <c r="B200" s="2" t="str">
        <f>HYPERLINK("https://my.zakupki.prom.ua/remote/dispatcher/state_purchase_view/33429547", "UA-2021-12-20-021214-c")</f>
        <v>UA-2021-12-20-021214-c</v>
      </c>
      <c r="C200" s="2" t="s">
        <v>1276</v>
      </c>
      <c r="D200" s="2" t="str">
        <f>HYPERLINK("https://my.zakupki.prom.ua/remote/dispatcher/state_contracting_view/12092699", "UA-2021-12-20-021214-c-c1")</f>
        <v>UA-2021-12-20-021214-c-c1</v>
      </c>
      <c r="E200" s="1" t="s">
        <v>853</v>
      </c>
      <c r="F200" s="1" t="s">
        <v>1572</v>
      </c>
      <c r="G200" s="1" t="s">
        <v>1572</v>
      </c>
      <c r="H200" s="1" t="s">
        <v>109</v>
      </c>
      <c r="I200" s="1" t="s">
        <v>1175</v>
      </c>
      <c r="J200" s="1" t="s">
        <v>1146</v>
      </c>
      <c r="K200" s="1" t="s">
        <v>593</v>
      </c>
      <c r="L200" s="1" t="s">
        <v>1163</v>
      </c>
      <c r="M200" s="5">
        <v>2849.51</v>
      </c>
      <c r="N200" s="6">
        <v>44546</v>
      </c>
      <c r="O200" s="6">
        <v>44561</v>
      </c>
      <c r="P200" s="1" t="s">
        <v>1674</v>
      </c>
    </row>
    <row r="201" spans="1:16" hidden="1">
      <c r="A201" s="4">
        <v>284</v>
      </c>
      <c r="B201" s="2" t="str">
        <f>HYPERLINK("https://my.zakupki.prom.ua/remote/dispatcher/state_purchase_view/33258570", "UA-2021-12-16-021090-c")</f>
        <v>UA-2021-12-16-021090-c</v>
      </c>
      <c r="C201" s="2" t="s">
        <v>1276</v>
      </c>
      <c r="D201" s="2" t="str">
        <f>HYPERLINK("https://my.zakupki.prom.ua/remote/dispatcher/state_contracting_view/12008414", "UA-2021-12-16-021090-c-c1")</f>
        <v>UA-2021-12-16-021090-c-c1</v>
      </c>
      <c r="E201" s="1" t="s">
        <v>176</v>
      </c>
      <c r="F201" s="1" t="s">
        <v>1385</v>
      </c>
      <c r="G201" s="1" t="s">
        <v>1385</v>
      </c>
      <c r="H201" s="1" t="s">
        <v>110</v>
      </c>
      <c r="I201" s="1" t="s">
        <v>1175</v>
      </c>
      <c r="J201" s="1" t="s">
        <v>1197</v>
      </c>
      <c r="K201" s="1" t="s">
        <v>437</v>
      </c>
      <c r="L201" s="1" t="s">
        <v>1149</v>
      </c>
      <c r="M201" s="5">
        <v>590.88</v>
      </c>
      <c r="N201" s="6">
        <v>44546</v>
      </c>
      <c r="O201" s="6">
        <v>44561</v>
      </c>
      <c r="P201" s="1" t="s">
        <v>1674</v>
      </c>
    </row>
    <row r="202" spans="1:16" hidden="1">
      <c r="A202" s="4">
        <v>285</v>
      </c>
      <c r="B202" s="2" t="str">
        <f>HYPERLINK("https://my.zakupki.prom.ua/remote/dispatcher/state_purchase_view/31161468", "UA-2021-10-27-003937-a")</f>
        <v>UA-2021-10-27-003937-a</v>
      </c>
      <c r="C202" s="2" t="s">
        <v>1276</v>
      </c>
      <c r="D202" s="2" t="str">
        <f>HYPERLINK("https://my.zakupki.prom.ua/remote/dispatcher/state_contracting_view/11035179", "UA-2021-10-27-003937-a-a1")</f>
        <v>UA-2021-10-27-003937-a-a1</v>
      </c>
      <c r="E202" s="1" t="s">
        <v>728</v>
      </c>
      <c r="F202" s="1" t="s">
        <v>1390</v>
      </c>
      <c r="G202" s="1" t="s">
        <v>1390</v>
      </c>
      <c r="H202" s="1" t="s">
        <v>464</v>
      </c>
      <c r="I202" s="1" t="s">
        <v>1175</v>
      </c>
      <c r="J202" s="1" t="s">
        <v>1663</v>
      </c>
      <c r="K202" s="1" t="s">
        <v>417</v>
      </c>
      <c r="L202" s="1" t="s">
        <v>367</v>
      </c>
      <c r="M202" s="5">
        <v>424</v>
      </c>
      <c r="N202" s="6">
        <v>44494</v>
      </c>
      <c r="O202" s="6">
        <v>44561</v>
      </c>
      <c r="P202" s="1" t="s">
        <v>1674</v>
      </c>
    </row>
    <row r="203" spans="1:16" hidden="1">
      <c r="A203" s="4">
        <v>286</v>
      </c>
      <c r="B203" s="2" t="str">
        <f>HYPERLINK("https://my.zakupki.prom.ua/remote/dispatcher/state_purchase_view/32119991", "UA-2021-11-23-012973-a")</f>
        <v>UA-2021-11-23-012973-a</v>
      </c>
      <c r="C203" s="2" t="s">
        <v>1276</v>
      </c>
      <c r="D203" s="2" t="str">
        <f>HYPERLINK("https://my.zakupki.prom.ua/remote/dispatcher/state_contracting_view/11474741", "UA-2021-11-23-012973-a-a1")</f>
        <v>UA-2021-11-23-012973-a-a1</v>
      </c>
      <c r="E203" s="1" t="s">
        <v>703</v>
      </c>
      <c r="F203" s="1" t="s">
        <v>1525</v>
      </c>
      <c r="G203" s="1" t="s">
        <v>1525</v>
      </c>
      <c r="H203" s="1" t="s">
        <v>495</v>
      </c>
      <c r="I203" s="1" t="s">
        <v>1175</v>
      </c>
      <c r="J203" s="1" t="s">
        <v>1642</v>
      </c>
      <c r="K203" s="1" t="s">
        <v>547</v>
      </c>
      <c r="L203" s="1" t="s">
        <v>316</v>
      </c>
      <c r="M203" s="5">
        <v>3060</v>
      </c>
      <c r="N203" s="6">
        <v>44522</v>
      </c>
      <c r="O203" s="6">
        <v>44561</v>
      </c>
      <c r="P203" s="1" t="s">
        <v>1674</v>
      </c>
    </row>
    <row r="204" spans="1:16" hidden="1">
      <c r="A204" s="4">
        <v>287</v>
      </c>
      <c r="B204" s="2" t="str">
        <f>HYPERLINK("https://my.zakupki.prom.ua/remote/dispatcher/state_purchase_view/33019102", "UA-2021-12-13-018501-c")</f>
        <v>UA-2021-12-13-018501-c</v>
      </c>
      <c r="C204" s="2" t="s">
        <v>1276</v>
      </c>
      <c r="D204" s="2" t="str">
        <f>HYPERLINK("https://my.zakupki.prom.ua/remote/dispatcher/state_contracting_view/11893277", "UA-2021-12-13-018501-c-c1")</f>
        <v>UA-2021-12-13-018501-c-c1</v>
      </c>
      <c r="E204" s="1" t="s">
        <v>1065</v>
      </c>
      <c r="F204" s="1" t="s">
        <v>1386</v>
      </c>
      <c r="G204" s="1" t="s">
        <v>1386</v>
      </c>
      <c r="H204" s="1" t="s">
        <v>499</v>
      </c>
      <c r="I204" s="1" t="s">
        <v>1175</v>
      </c>
      <c r="J204" s="1" t="s">
        <v>1148</v>
      </c>
      <c r="K204" s="1" t="s">
        <v>296</v>
      </c>
      <c r="L204" s="1" t="s">
        <v>680</v>
      </c>
      <c r="M204" s="5">
        <v>103.88</v>
      </c>
      <c r="N204" s="6">
        <v>44543</v>
      </c>
      <c r="O204" s="6">
        <v>44561</v>
      </c>
      <c r="P204" s="1" t="s">
        <v>1674</v>
      </c>
    </row>
    <row r="205" spans="1:16" hidden="1">
      <c r="A205" s="4">
        <v>288</v>
      </c>
      <c r="B205" s="2" t="str">
        <f>HYPERLINK("https://my.zakupki.prom.ua/remote/dispatcher/state_purchase_view/30621645", "UA-2021-10-08-005182-b")</f>
        <v>UA-2021-10-08-005182-b</v>
      </c>
      <c r="C205" s="2" t="s">
        <v>1276</v>
      </c>
      <c r="D205" s="2" t="str">
        <f>HYPERLINK("https://my.zakupki.prom.ua/remote/dispatcher/state_contracting_view/10786099", "UA-2021-10-08-005182-b-b1")</f>
        <v>UA-2021-10-08-005182-b-b1</v>
      </c>
      <c r="E205" s="1" t="s">
        <v>645</v>
      </c>
      <c r="F205" s="1" t="s">
        <v>1579</v>
      </c>
      <c r="G205" s="1" t="s">
        <v>1579</v>
      </c>
      <c r="H205" s="1" t="s">
        <v>717</v>
      </c>
      <c r="I205" s="1" t="s">
        <v>1175</v>
      </c>
      <c r="J205" s="1" t="s">
        <v>1290</v>
      </c>
      <c r="K205" s="1" t="s">
        <v>333</v>
      </c>
      <c r="L205" s="1" t="s">
        <v>15</v>
      </c>
      <c r="M205" s="5">
        <v>1208</v>
      </c>
      <c r="N205" s="6">
        <v>44474</v>
      </c>
      <c r="O205" s="6">
        <v>44561</v>
      </c>
      <c r="P205" s="1" t="s">
        <v>1674</v>
      </c>
    </row>
    <row r="206" spans="1:16" hidden="1">
      <c r="A206" s="4">
        <v>289</v>
      </c>
      <c r="B206" s="2" t="str">
        <f>HYPERLINK("https://my.zakupki.prom.ua/remote/dispatcher/state_purchase_view/31693636", "UA-2021-11-11-013682-a")</f>
        <v>UA-2021-11-11-013682-a</v>
      </c>
      <c r="C206" s="2" t="s">
        <v>1276</v>
      </c>
      <c r="D206" s="2" t="str">
        <f>HYPERLINK("https://my.zakupki.prom.ua/remote/dispatcher/state_contracting_view/11277650", "UA-2021-11-11-013682-a-a1")</f>
        <v>UA-2021-11-11-013682-a-a1</v>
      </c>
      <c r="E206" s="1" t="s">
        <v>698</v>
      </c>
      <c r="F206" s="1" t="s">
        <v>1446</v>
      </c>
      <c r="G206" s="1" t="s">
        <v>1447</v>
      </c>
      <c r="H206" s="1" t="s">
        <v>608</v>
      </c>
      <c r="I206" s="1" t="s">
        <v>1175</v>
      </c>
      <c r="J206" s="1" t="s">
        <v>1202</v>
      </c>
      <c r="K206" s="1" t="s">
        <v>289</v>
      </c>
      <c r="L206" s="1" t="s">
        <v>123</v>
      </c>
      <c r="M206" s="5">
        <v>2870</v>
      </c>
      <c r="N206" s="6">
        <v>44509</v>
      </c>
      <c r="O206" s="6">
        <v>44561</v>
      </c>
      <c r="P206" s="1" t="s">
        <v>1674</v>
      </c>
    </row>
    <row r="207" spans="1:16" hidden="1">
      <c r="A207" s="4">
        <v>290</v>
      </c>
      <c r="B207" s="2" t="str">
        <f>HYPERLINK("https://my.zakupki.prom.ua/remote/dispatcher/state_purchase_view/31529311", "UA-2021-11-08-008814-b")</f>
        <v>UA-2021-11-08-008814-b</v>
      </c>
      <c r="C207" s="2" t="s">
        <v>1276</v>
      </c>
      <c r="D207" s="2" t="str">
        <f>HYPERLINK("https://my.zakupki.prom.ua/remote/dispatcher/state_contracting_view/11956712", "UA-2021-11-08-008814-b-c1")</f>
        <v>UA-2021-11-08-008814-b-c1</v>
      </c>
      <c r="E207" s="1" t="s">
        <v>1061</v>
      </c>
      <c r="F207" s="1" t="s">
        <v>1593</v>
      </c>
      <c r="G207" s="7" t="s">
        <v>1593</v>
      </c>
      <c r="H207" s="7" t="s">
        <v>632</v>
      </c>
      <c r="I207" s="7" t="s">
        <v>1135</v>
      </c>
      <c r="J207" s="7" t="s">
        <v>1626</v>
      </c>
      <c r="K207" s="7" t="s">
        <v>597</v>
      </c>
      <c r="L207" s="7" t="s">
        <v>702</v>
      </c>
      <c r="M207" s="8">
        <v>3555937.8</v>
      </c>
      <c r="N207" s="9">
        <v>44544</v>
      </c>
      <c r="O207" s="9">
        <v>44561</v>
      </c>
      <c r="P207" s="7" t="s">
        <v>1674</v>
      </c>
    </row>
    <row r="208" spans="1:16" hidden="1">
      <c r="A208" s="4">
        <v>291</v>
      </c>
      <c r="B208" s="2" t="str">
        <f>HYPERLINK("https://my.zakupki.prom.ua/remote/dispatcher/state_purchase_view/23066394", "UA-2021-01-19-002158-b")</f>
        <v>UA-2021-01-19-002158-b</v>
      </c>
      <c r="C208" s="2" t="s">
        <v>1276</v>
      </c>
      <c r="D208" s="2" t="str">
        <f>HYPERLINK("https://my.zakupki.prom.ua/remote/dispatcher/state_contracting_view/7259839", "UA-2021-01-19-002158-b-b1")</f>
        <v>UA-2021-01-19-002158-b-b1</v>
      </c>
      <c r="E208" s="1" t="s">
        <v>429</v>
      </c>
      <c r="F208" s="1" t="s">
        <v>1392</v>
      </c>
      <c r="G208" s="1" t="s">
        <v>1392</v>
      </c>
      <c r="H208" s="1" t="s">
        <v>103</v>
      </c>
      <c r="I208" s="1" t="s">
        <v>1175</v>
      </c>
      <c r="J208" s="1" t="s">
        <v>1631</v>
      </c>
      <c r="K208" s="1" t="s">
        <v>541</v>
      </c>
      <c r="L208" s="1" t="s">
        <v>178</v>
      </c>
      <c r="M208" s="5">
        <v>10997.25</v>
      </c>
      <c r="N208" s="6">
        <v>44215</v>
      </c>
      <c r="O208" s="6">
        <v>44561</v>
      </c>
      <c r="P208" s="1" t="s">
        <v>1674</v>
      </c>
    </row>
    <row r="209" spans="1:16" hidden="1">
      <c r="A209" s="4">
        <v>292</v>
      </c>
      <c r="B209" s="2" t="str">
        <f>HYPERLINK("https://my.zakupki.prom.ua/remote/dispatcher/state_purchase_view/23055860", "UA-2021-01-19-003681-a")</f>
        <v>UA-2021-01-19-003681-a</v>
      </c>
      <c r="C209" s="2" t="s">
        <v>1276</v>
      </c>
      <c r="D209" s="2" t="str">
        <f>HYPERLINK("https://my.zakupki.prom.ua/remote/dispatcher/state_contracting_view/7256017", "UA-2021-01-19-003681-a-a1")</f>
        <v>UA-2021-01-19-003681-a-a1</v>
      </c>
      <c r="E209" s="1" t="s">
        <v>1035</v>
      </c>
      <c r="F209" s="1" t="s">
        <v>1314</v>
      </c>
      <c r="G209" s="1" t="s">
        <v>1314</v>
      </c>
      <c r="H209" s="1" t="s">
        <v>777</v>
      </c>
      <c r="I209" s="1" t="s">
        <v>1175</v>
      </c>
      <c r="J209" s="1" t="s">
        <v>1651</v>
      </c>
      <c r="K209" s="1" t="s">
        <v>581</v>
      </c>
      <c r="L209" s="1" t="s">
        <v>201</v>
      </c>
      <c r="M209" s="5">
        <v>6000</v>
      </c>
      <c r="N209" s="6">
        <v>44215</v>
      </c>
      <c r="O209" s="6">
        <v>44561</v>
      </c>
      <c r="P209" s="1" t="s">
        <v>1674</v>
      </c>
    </row>
    <row r="210" spans="1:16" hidden="1">
      <c r="A210" s="4">
        <v>293</v>
      </c>
      <c r="B210" s="2" t="str">
        <f>HYPERLINK("https://my.zakupki.prom.ua/remote/dispatcher/state_purchase_view/23611772", "UA-2021-02-03-010957-a")</f>
        <v>UA-2021-02-03-010957-a</v>
      </c>
      <c r="C210" s="2" t="s">
        <v>1276</v>
      </c>
      <c r="D210" s="2" t="str">
        <f>HYPERLINK("https://my.zakupki.prom.ua/remote/dispatcher/state_contracting_view/7487317", "UA-2021-02-03-010957-a-a1")</f>
        <v>UA-2021-02-03-010957-a-a1</v>
      </c>
      <c r="E210" s="1" t="s">
        <v>149</v>
      </c>
      <c r="F210" s="1" t="s">
        <v>1158</v>
      </c>
      <c r="G210" s="1" t="s">
        <v>1158</v>
      </c>
      <c r="H210" s="1" t="s">
        <v>708</v>
      </c>
      <c r="I210" s="1" t="s">
        <v>1175</v>
      </c>
      <c r="J210" s="1" t="s">
        <v>1297</v>
      </c>
      <c r="K210" s="1" t="s">
        <v>308</v>
      </c>
      <c r="L210" s="1" t="s">
        <v>726</v>
      </c>
      <c r="M210" s="5">
        <v>20576</v>
      </c>
      <c r="N210" s="6">
        <v>44225</v>
      </c>
      <c r="O210" s="6">
        <v>44561</v>
      </c>
      <c r="P210" s="1" t="s">
        <v>1674</v>
      </c>
    </row>
    <row r="211" spans="1:16" hidden="1">
      <c r="A211" s="4">
        <v>294</v>
      </c>
      <c r="B211" s="2" t="str">
        <f>HYPERLINK("https://my.zakupki.prom.ua/remote/dispatcher/state_purchase_view/24582336", "UA-2021-03-03-012162-c")</f>
        <v>UA-2021-03-03-012162-c</v>
      </c>
      <c r="C211" s="2" t="s">
        <v>1276</v>
      </c>
      <c r="D211" s="2" t="str">
        <f>HYPERLINK("https://my.zakupki.prom.ua/remote/dispatcher/state_contracting_view/7942670", "UA-2021-03-03-012162-c-c1")</f>
        <v>UA-2021-03-03-012162-c-c1</v>
      </c>
      <c r="E211" s="1" t="s">
        <v>266</v>
      </c>
      <c r="F211" s="1" t="s">
        <v>1567</v>
      </c>
      <c r="G211" s="1" t="s">
        <v>1567</v>
      </c>
      <c r="H211" s="1" t="s">
        <v>559</v>
      </c>
      <c r="I211" s="1" t="s">
        <v>1175</v>
      </c>
      <c r="J211" s="1" t="s">
        <v>1655</v>
      </c>
      <c r="K211" s="1" t="s">
        <v>523</v>
      </c>
      <c r="L211" s="1" t="s">
        <v>11</v>
      </c>
      <c r="M211" s="5">
        <v>2597.6</v>
      </c>
      <c r="N211" s="6">
        <v>44256</v>
      </c>
      <c r="O211" s="6">
        <v>44561</v>
      </c>
      <c r="P211" s="1" t="s">
        <v>1674</v>
      </c>
    </row>
    <row r="212" spans="1:16" hidden="1">
      <c r="A212" s="4">
        <v>295</v>
      </c>
      <c r="B212" s="2" t="str">
        <f>HYPERLINK("https://my.zakupki.prom.ua/remote/dispatcher/state_purchase_view/26393845", "UA-2021-05-07-008316-b")</f>
        <v>UA-2021-05-07-008316-b</v>
      </c>
      <c r="C212" s="2" t="s">
        <v>1276</v>
      </c>
      <c r="D212" s="2" t="str">
        <f>HYPERLINK("https://my.zakupki.prom.ua/remote/dispatcher/state_contracting_view/8803866", "UA-2021-05-07-008316-b-b1")</f>
        <v>UA-2021-05-07-008316-b-b1</v>
      </c>
      <c r="E212" s="1" t="s">
        <v>89</v>
      </c>
      <c r="F212" s="1" t="s">
        <v>1547</v>
      </c>
      <c r="G212" s="1" t="s">
        <v>1547</v>
      </c>
      <c r="H212" s="1" t="s">
        <v>759</v>
      </c>
      <c r="I212" s="1" t="s">
        <v>1175</v>
      </c>
      <c r="J212" s="1" t="s">
        <v>1643</v>
      </c>
      <c r="K212" s="1" t="s">
        <v>530</v>
      </c>
      <c r="L212" s="1" t="s">
        <v>360</v>
      </c>
      <c r="M212" s="5">
        <v>6</v>
      </c>
      <c r="N212" s="6">
        <v>44323</v>
      </c>
      <c r="O212" s="6">
        <v>44561</v>
      </c>
      <c r="P212" s="1" t="s">
        <v>1674</v>
      </c>
    </row>
    <row r="213" spans="1:16" hidden="1">
      <c r="A213" s="4">
        <v>296</v>
      </c>
      <c r="B213" s="2" t="str">
        <f>HYPERLINK("https://my.zakupki.prom.ua/remote/dispatcher/state_purchase_view/25813357", "UA-2021-04-14-003698-c")</f>
        <v>UA-2021-04-14-003698-c</v>
      </c>
      <c r="C213" s="2" t="s">
        <v>1276</v>
      </c>
      <c r="D213" s="2" t="str">
        <f>HYPERLINK("https://my.zakupki.prom.ua/remote/dispatcher/state_contracting_view/8524403", "UA-2021-04-14-003698-c-c1")</f>
        <v>UA-2021-04-14-003698-c-c1</v>
      </c>
      <c r="E213" s="1" t="s">
        <v>113</v>
      </c>
      <c r="F213" s="1" t="s">
        <v>1347</v>
      </c>
      <c r="G213" s="1" t="s">
        <v>1347</v>
      </c>
      <c r="H213" s="1" t="s">
        <v>756</v>
      </c>
      <c r="I213" s="1" t="s">
        <v>1175</v>
      </c>
      <c r="J213" s="1" t="s">
        <v>1665</v>
      </c>
      <c r="K213" s="1" t="s">
        <v>394</v>
      </c>
      <c r="L213" s="1" t="s">
        <v>174</v>
      </c>
      <c r="M213" s="5">
        <v>2200</v>
      </c>
      <c r="N213" s="6">
        <v>44299</v>
      </c>
      <c r="O213" s="6">
        <v>44561</v>
      </c>
      <c r="P213" s="1" t="s">
        <v>1674</v>
      </c>
    </row>
    <row r="214" spans="1:16" hidden="1">
      <c r="A214" s="4">
        <v>297</v>
      </c>
      <c r="B214" s="2" t="str">
        <f>HYPERLINK("https://my.zakupki.prom.ua/remote/dispatcher/state_purchase_view/25082572", "UA-2021-03-19-003430-a")</f>
        <v>UA-2021-03-19-003430-a</v>
      </c>
      <c r="C214" s="2" t="s">
        <v>1276</v>
      </c>
      <c r="D214" s="2" t="str">
        <f>HYPERLINK("https://my.zakupki.prom.ua/remote/dispatcher/state_contracting_view/8179581", "UA-2021-03-19-003430-a-a1")</f>
        <v>UA-2021-03-19-003430-a-a1</v>
      </c>
      <c r="E214" s="1" t="s">
        <v>1050</v>
      </c>
      <c r="F214" s="1" t="s">
        <v>1379</v>
      </c>
      <c r="G214" s="1" t="s">
        <v>1379</v>
      </c>
      <c r="H214" s="1" t="s">
        <v>625</v>
      </c>
      <c r="I214" s="1" t="s">
        <v>1175</v>
      </c>
      <c r="J214" s="1" t="s">
        <v>1673</v>
      </c>
      <c r="K214" s="1" t="s">
        <v>375</v>
      </c>
      <c r="L214" s="1" t="s">
        <v>246</v>
      </c>
      <c r="M214" s="5">
        <v>130</v>
      </c>
      <c r="N214" s="6">
        <v>44273</v>
      </c>
      <c r="O214" s="6">
        <v>44561</v>
      </c>
      <c r="P214" s="1" t="s">
        <v>1674</v>
      </c>
    </row>
    <row r="215" spans="1:16" hidden="1">
      <c r="A215" s="4">
        <v>298</v>
      </c>
      <c r="B215" s="2" t="str">
        <f>HYPERLINK("https://my.zakupki.prom.ua/remote/dispatcher/state_purchase_view/26968493", "UA-2021-05-27-013894-b")</f>
        <v>UA-2021-05-27-013894-b</v>
      </c>
      <c r="C215" s="2" t="s">
        <v>1276</v>
      </c>
      <c r="D215" s="2" t="str">
        <f>HYPERLINK("https://my.zakupki.prom.ua/remote/dispatcher/state_contracting_view/9076832", "UA-2021-05-27-013894-b-b1")</f>
        <v>UA-2021-05-27-013894-b-b1</v>
      </c>
      <c r="E215" s="1" t="s">
        <v>570</v>
      </c>
      <c r="F215" s="1" t="s">
        <v>2</v>
      </c>
      <c r="G215" s="1" t="s">
        <v>1561</v>
      </c>
      <c r="H215" s="1" t="s">
        <v>633</v>
      </c>
      <c r="I215" s="1" t="s">
        <v>1175</v>
      </c>
      <c r="J215" s="1" t="s">
        <v>1197</v>
      </c>
      <c r="K215" s="1" t="s">
        <v>437</v>
      </c>
      <c r="L215" s="1" t="s">
        <v>334</v>
      </c>
      <c r="M215" s="5">
        <v>620.91999999999996</v>
      </c>
      <c r="N215" s="6">
        <v>44342</v>
      </c>
      <c r="O215" s="6">
        <v>44561</v>
      </c>
      <c r="P215" s="1" t="s">
        <v>1674</v>
      </c>
    </row>
    <row r="216" spans="1:16" hidden="1">
      <c r="A216" s="4">
        <v>299</v>
      </c>
      <c r="B216" s="2" t="str">
        <f>HYPERLINK("https://my.zakupki.prom.ua/remote/dispatcher/state_purchase_view/25893060", "UA-2021-04-16-001669-c")</f>
        <v>UA-2021-04-16-001669-c</v>
      </c>
      <c r="C216" s="2" t="s">
        <v>1276</v>
      </c>
      <c r="D216" s="2" t="str">
        <f>HYPERLINK("https://my.zakupki.prom.ua/remote/dispatcher/state_contracting_view/8562168", "UA-2021-04-16-001669-c-c1")</f>
        <v>UA-2021-04-16-001669-c-c1</v>
      </c>
      <c r="E216" s="1" t="s">
        <v>872</v>
      </c>
      <c r="F216" s="1" t="s">
        <v>1406</v>
      </c>
      <c r="G216" s="1" t="s">
        <v>1406</v>
      </c>
      <c r="H216" s="1" t="s">
        <v>619</v>
      </c>
      <c r="I216" s="1" t="s">
        <v>1175</v>
      </c>
      <c r="J216" s="1" t="s">
        <v>1212</v>
      </c>
      <c r="K216" s="1" t="s">
        <v>448</v>
      </c>
      <c r="L216" s="1" t="s">
        <v>203</v>
      </c>
      <c r="M216" s="5">
        <v>120</v>
      </c>
      <c r="N216" s="6">
        <v>44301</v>
      </c>
      <c r="O216" s="6">
        <v>44561</v>
      </c>
      <c r="P216" s="1" t="s">
        <v>1674</v>
      </c>
    </row>
    <row r="217" spans="1:16" hidden="1">
      <c r="A217" s="4">
        <v>300</v>
      </c>
      <c r="B217" s="2" t="str">
        <f>HYPERLINK("https://my.zakupki.prom.ua/remote/dispatcher/state_purchase_view/25888708", "UA-2021-04-16-002990-b")</f>
        <v>UA-2021-04-16-002990-b</v>
      </c>
      <c r="C217" s="2" t="s">
        <v>1276</v>
      </c>
      <c r="D217" s="2" t="str">
        <f>HYPERLINK("https://my.zakupki.prom.ua/remote/dispatcher/state_contracting_view/8559976", "UA-2021-04-16-002990-b-b1")</f>
        <v>UA-2021-04-16-002990-b-b1</v>
      </c>
      <c r="E217" s="1" t="s">
        <v>1057</v>
      </c>
      <c r="F217" s="1" t="s">
        <v>1472</v>
      </c>
      <c r="G217" s="1" t="s">
        <v>1472</v>
      </c>
      <c r="H217" s="1" t="s">
        <v>465</v>
      </c>
      <c r="I217" s="1" t="s">
        <v>1175</v>
      </c>
      <c r="J217" s="1" t="s">
        <v>1202</v>
      </c>
      <c r="K217" s="1" t="s">
        <v>289</v>
      </c>
      <c r="L217" s="1" t="s">
        <v>184</v>
      </c>
      <c r="M217" s="5">
        <v>1822</v>
      </c>
      <c r="N217" s="6">
        <v>44301</v>
      </c>
      <c r="O217" s="6">
        <v>44561</v>
      </c>
      <c r="P217" s="1" t="s">
        <v>1674</v>
      </c>
    </row>
    <row r="218" spans="1:16" hidden="1">
      <c r="A218" s="4">
        <v>301</v>
      </c>
      <c r="B218" s="2" t="str">
        <f>HYPERLINK("https://my.zakupki.prom.ua/remote/dispatcher/state_purchase_view/25207114", "UA-2021-03-24-006212-b")</f>
        <v>UA-2021-03-24-006212-b</v>
      </c>
      <c r="C218" s="2" t="s">
        <v>1276</v>
      </c>
      <c r="D218" s="2" t="str">
        <f>HYPERLINK("https://my.zakupki.prom.ua/remote/dispatcher/state_contracting_view/8246461", "UA-2021-03-24-006212-b-b1")</f>
        <v>UA-2021-03-24-006212-b-b1</v>
      </c>
      <c r="E218" s="1" t="s">
        <v>973</v>
      </c>
      <c r="F218" s="1" t="s">
        <v>1524</v>
      </c>
      <c r="G218" s="1" t="s">
        <v>1524</v>
      </c>
      <c r="H218" s="1" t="s">
        <v>487</v>
      </c>
      <c r="I218" s="1" t="s">
        <v>1175</v>
      </c>
      <c r="J218" s="1" t="s">
        <v>1172</v>
      </c>
      <c r="K218" s="1" t="s">
        <v>406</v>
      </c>
      <c r="L218" s="1" t="s">
        <v>276</v>
      </c>
      <c r="M218" s="5">
        <v>7035</v>
      </c>
      <c r="N218" s="6">
        <v>44279</v>
      </c>
      <c r="O218" s="6">
        <v>44561</v>
      </c>
      <c r="P218" s="1" t="s">
        <v>1674</v>
      </c>
    </row>
    <row r="219" spans="1:16" hidden="1">
      <c r="A219" s="4">
        <v>302</v>
      </c>
      <c r="B219" s="2" t="str">
        <f>HYPERLINK("https://my.zakupki.prom.ua/remote/dispatcher/state_purchase_view/25254966", "UA-2021-03-26-007674-c")</f>
        <v>UA-2021-03-26-007674-c</v>
      </c>
      <c r="C219" s="2" t="s">
        <v>1276</v>
      </c>
      <c r="D219" s="2" t="str">
        <f>HYPERLINK("https://my.zakupki.prom.ua/remote/dispatcher/state_contracting_view/8277207", "UA-2021-03-26-007674-c-c1")</f>
        <v>UA-2021-03-26-007674-c-c1</v>
      </c>
      <c r="E219" s="1" t="s">
        <v>1055</v>
      </c>
      <c r="F219" s="1" t="s">
        <v>1411</v>
      </c>
      <c r="G219" s="1" t="s">
        <v>1410</v>
      </c>
      <c r="H219" s="1" t="s">
        <v>625</v>
      </c>
      <c r="I219" s="1" t="s">
        <v>1175</v>
      </c>
      <c r="J219" s="1" t="s">
        <v>1673</v>
      </c>
      <c r="K219" s="1" t="s">
        <v>375</v>
      </c>
      <c r="L219" s="1" t="s">
        <v>371</v>
      </c>
      <c r="M219" s="5">
        <v>59.5</v>
      </c>
      <c r="N219" s="6">
        <v>44280</v>
      </c>
      <c r="O219" s="6">
        <v>44561</v>
      </c>
      <c r="P219" s="1" t="s">
        <v>1674</v>
      </c>
    </row>
    <row r="220" spans="1:16" hidden="1">
      <c r="A220" s="4">
        <v>303</v>
      </c>
      <c r="B220" s="2" t="str">
        <f>HYPERLINK("https://my.zakupki.prom.ua/remote/dispatcher/state_purchase_view/26365318", "UA-2021-05-07-000183-c")</f>
        <v>UA-2021-05-07-000183-c</v>
      </c>
      <c r="C220" s="2" t="s">
        <v>1276</v>
      </c>
      <c r="D220" s="2" t="str">
        <f>HYPERLINK("https://my.zakupki.prom.ua/remote/dispatcher/state_contracting_view/8789789", "UA-2021-05-07-000183-c-c1")</f>
        <v>UA-2021-05-07-000183-c-c1</v>
      </c>
      <c r="E220" s="1" t="s">
        <v>981</v>
      </c>
      <c r="F220" s="1" t="s">
        <v>1560</v>
      </c>
      <c r="G220" s="1" t="s">
        <v>1563</v>
      </c>
      <c r="H220" s="1" t="s">
        <v>633</v>
      </c>
      <c r="I220" s="1" t="s">
        <v>1175</v>
      </c>
      <c r="J220" s="1" t="s">
        <v>1197</v>
      </c>
      <c r="K220" s="1" t="s">
        <v>437</v>
      </c>
      <c r="L220" s="1" t="s">
        <v>1161</v>
      </c>
      <c r="M220" s="5">
        <v>12500</v>
      </c>
      <c r="N220" s="6">
        <v>44322</v>
      </c>
      <c r="O220" s="6">
        <v>44561</v>
      </c>
      <c r="P220" s="1" t="s">
        <v>1674</v>
      </c>
    </row>
    <row r="221" spans="1:16" hidden="1">
      <c r="A221" s="4">
        <v>304</v>
      </c>
      <c r="B221" s="2" t="str">
        <f>HYPERLINK("https://my.zakupki.prom.ua/remote/dispatcher/state_purchase_view/26534334", "UA-2021-05-14-003452-c")</f>
        <v>UA-2021-05-14-003452-c</v>
      </c>
      <c r="C221" s="2" t="s">
        <v>1276</v>
      </c>
      <c r="D221" s="2" t="str">
        <f>HYPERLINK("https://my.zakupki.prom.ua/remote/dispatcher/state_contracting_view/8871547", "UA-2021-05-14-003452-c-c1")</f>
        <v>UA-2021-05-14-003452-c-c1</v>
      </c>
      <c r="E221" s="1" t="s">
        <v>1024</v>
      </c>
      <c r="F221" s="1" t="s">
        <v>1519</v>
      </c>
      <c r="G221" s="1" t="s">
        <v>1519</v>
      </c>
      <c r="H221" s="1" t="s">
        <v>492</v>
      </c>
      <c r="I221" s="1" t="s">
        <v>1175</v>
      </c>
      <c r="J221" s="1" t="s">
        <v>1148</v>
      </c>
      <c r="K221" s="1" t="s">
        <v>296</v>
      </c>
      <c r="L221" s="1" t="s">
        <v>311</v>
      </c>
      <c r="M221" s="5">
        <v>1234.03</v>
      </c>
      <c r="N221" s="6">
        <v>44329</v>
      </c>
      <c r="O221" s="6">
        <v>44561</v>
      </c>
      <c r="P221" s="1" t="s">
        <v>1674</v>
      </c>
    </row>
    <row r="222" spans="1:16" hidden="1">
      <c r="A222" s="4">
        <v>305</v>
      </c>
      <c r="B222" s="2" t="str">
        <f>HYPERLINK("https://my.zakupki.prom.ua/remote/dispatcher/state_purchase_view/24969109", "UA-2021-03-17-003058-c")</f>
        <v>UA-2021-03-17-003058-c</v>
      </c>
      <c r="C222" s="2" t="s">
        <v>1276</v>
      </c>
      <c r="D222" s="2" t="str">
        <f>HYPERLINK("https://my.zakupki.prom.ua/remote/dispatcher/state_contracting_view/8122281", "UA-2021-03-17-003058-c-c1")</f>
        <v>UA-2021-03-17-003058-c-c1</v>
      </c>
      <c r="E222" s="1" t="s">
        <v>687</v>
      </c>
      <c r="F222" s="1" t="s">
        <v>1444</v>
      </c>
      <c r="G222" s="1" t="s">
        <v>1444</v>
      </c>
      <c r="H222" s="1" t="s">
        <v>626</v>
      </c>
      <c r="I222" s="1" t="s">
        <v>1175</v>
      </c>
      <c r="J222" s="1" t="s">
        <v>1202</v>
      </c>
      <c r="K222" s="1" t="s">
        <v>289</v>
      </c>
      <c r="L222" s="1" t="s">
        <v>206</v>
      </c>
      <c r="M222" s="5">
        <v>924</v>
      </c>
      <c r="N222" s="6">
        <v>44271</v>
      </c>
      <c r="O222" s="6">
        <v>44561</v>
      </c>
      <c r="P222" s="1" t="s">
        <v>1674</v>
      </c>
    </row>
    <row r="223" spans="1:16" hidden="1">
      <c r="A223" s="4">
        <v>306</v>
      </c>
      <c r="B223" s="2" t="str">
        <f>HYPERLINK("https://my.zakupki.prom.ua/remote/dispatcher/state_purchase_view/24968285", "UA-2021-03-17-002809-c")</f>
        <v>UA-2021-03-17-002809-c</v>
      </c>
      <c r="C223" s="2" t="s">
        <v>1276</v>
      </c>
      <c r="D223" s="2" t="str">
        <f>HYPERLINK("https://my.zakupki.prom.ua/remote/dispatcher/state_contracting_view/8121777", "UA-2021-03-17-002809-c-c1")</f>
        <v>UA-2021-03-17-002809-c-c1</v>
      </c>
      <c r="E223" s="1" t="s">
        <v>859</v>
      </c>
      <c r="F223" s="1" t="s">
        <v>1440</v>
      </c>
      <c r="G223" s="1" t="s">
        <v>1440</v>
      </c>
      <c r="H223" s="1" t="s">
        <v>622</v>
      </c>
      <c r="I223" s="1" t="s">
        <v>1175</v>
      </c>
      <c r="J223" s="1" t="s">
        <v>1202</v>
      </c>
      <c r="K223" s="1" t="s">
        <v>289</v>
      </c>
      <c r="L223" s="1" t="s">
        <v>206</v>
      </c>
      <c r="M223" s="5">
        <v>460</v>
      </c>
      <c r="N223" s="6">
        <v>44271</v>
      </c>
      <c r="O223" s="6">
        <v>44561</v>
      </c>
      <c r="P223" s="1" t="s">
        <v>1674</v>
      </c>
    </row>
    <row r="224" spans="1:16" hidden="1">
      <c r="A224" s="4">
        <v>307</v>
      </c>
      <c r="B224" s="2" t="str">
        <f>HYPERLINK("https://my.zakupki.prom.ua/remote/dispatcher/state_purchase_view/25043244", "UA-2021-03-18-008354-a")</f>
        <v>UA-2021-03-18-008354-a</v>
      </c>
      <c r="C224" s="2" t="s">
        <v>1276</v>
      </c>
      <c r="D224" s="2" t="str">
        <f>HYPERLINK("https://my.zakupki.prom.ua/remote/dispatcher/state_contracting_view/8161961", "UA-2021-03-18-008354-a-a1")</f>
        <v>UA-2021-03-18-008354-a-a1</v>
      </c>
      <c r="E224" s="1" t="s">
        <v>684</v>
      </c>
      <c r="F224" s="1" t="s">
        <v>1394</v>
      </c>
      <c r="G224" s="1" t="s">
        <v>1394</v>
      </c>
      <c r="H224" s="1" t="s">
        <v>608</v>
      </c>
      <c r="I224" s="1" t="s">
        <v>1175</v>
      </c>
      <c r="J224" s="1" t="s">
        <v>1202</v>
      </c>
      <c r="K224" s="1" t="s">
        <v>289</v>
      </c>
      <c r="L224" s="1" t="s">
        <v>223</v>
      </c>
      <c r="M224" s="5">
        <v>4791</v>
      </c>
      <c r="N224" s="6">
        <v>44273</v>
      </c>
      <c r="O224" s="6">
        <v>44561</v>
      </c>
      <c r="P224" s="1" t="s">
        <v>1674</v>
      </c>
    </row>
    <row r="225" spans="1:16" hidden="1">
      <c r="A225" s="4">
        <v>308</v>
      </c>
      <c r="B225" s="2" t="str">
        <f>HYPERLINK("https://my.zakupki.prom.ua/remote/dispatcher/state_purchase_view/25057826", "UA-2021-03-19-000335-b")</f>
        <v>UA-2021-03-19-000335-b</v>
      </c>
      <c r="C225" s="2" t="s">
        <v>1276</v>
      </c>
      <c r="D225" s="2" t="str">
        <f>HYPERLINK("https://my.zakupki.prom.ua/remote/dispatcher/state_contracting_view/8164571", "UA-2021-03-19-000335-b-b1")</f>
        <v>UA-2021-03-19-000335-b-b1</v>
      </c>
      <c r="E225" s="1" t="s">
        <v>807</v>
      </c>
      <c r="F225" s="1" t="s">
        <v>1456</v>
      </c>
      <c r="G225" s="1" t="s">
        <v>1456</v>
      </c>
      <c r="H225" s="1" t="s">
        <v>626</v>
      </c>
      <c r="I225" s="1" t="s">
        <v>1175</v>
      </c>
      <c r="J225" s="1" t="s">
        <v>1202</v>
      </c>
      <c r="K225" s="1" t="s">
        <v>289</v>
      </c>
      <c r="L225" s="1" t="s">
        <v>224</v>
      </c>
      <c r="M225" s="5">
        <v>1737</v>
      </c>
      <c r="N225" s="6">
        <v>44273</v>
      </c>
      <c r="O225" s="6">
        <v>44561</v>
      </c>
      <c r="P225" s="1" t="s">
        <v>1674</v>
      </c>
    </row>
    <row r="226" spans="1:16" hidden="1">
      <c r="A226" s="4">
        <v>309</v>
      </c>
      <c r="B226" s="2" t="str">
        <f>HYPERLINK("https://my.zakupki.prom.ua/remote/dispatcher/state_purchase_view/28199488", "UA-2021-07-13-008434-c")</f>
        <v>UA-2021-07-13-008434-c</v>
      </c>
      <c r="C226" s="2" t="s">
        <v>1276</v>
      </c>
      <c r="D226" s="2" t="str">
        <f>HYPERLINK("https://my.zakupki.prom.ua/remote/dispatcher/state_contracting_view/9660991", "UA-2021-07-13-008434-c-c1")</f>
        <v>UA-2021-07-13-008434-c-c1</v>
      </c>
      <c r="E226" s="1" t="s">
        <v>932</v>
      </c>
      <c r="F226" s="1" t="s">
        <v>1677</v>
      </c>
      <c r="G226" s="1" t="s">
        <v>1087</v>
      </c>
      <c r="H226" s="1" t="s">
        <v>748</v>
      </c>
      <c r="I226" s="1" t="s">
        <v>1175</v>
      </c>
      <c r="J226" s="1" t="s">
        <v>1195</v>
      </c>
      <c r="K226" s="1" t="s">
        <v>294</v>
      </c>
      <c r="L226" s="1" t="s">
        <v>532</v>
      </c>
      <c r="M226" s="5">
        <v>2507.5100000000002</v>
      </c>
      <c r="N226" s="6">
        <v>44389</v>
      </c>
      <c r="O226" s="6">
        <v>44561</v>
      </c>
      <c r="P226" s="1" t="s">
        <v>1674</v>
      </c>
    </row>
    <row r="227" spans="1:16" hidden="1">
      <c r="A227" s="4">
        <v>310</v>
      </c>
      <c r="B227" s="2" t="str">
        <f>HYPERLINK("https://my.zakupki.prom.ua/remote/dispatcher/state_purchase_view/32320196", "UA-2021-11-29-001940-c")</f>
        <v>UA-2021-11-29-001940-c</v>
      </c>
      <c r="C227" s="2" t="s">
        <v>1276</v>
      </c>
      <c r="D227" s="2" t="str">
        <f>HYPERLINK("https://my.zakupki.prom.ua/remote/dispatcher/state_contracting_view/11566993", "UA-2021-11-29-001940-c-c1")</f>
        <v>UA-2021-11-29-001940-c-c1</v>
      </c>
      <c r="E227" s="1" t="s">
        <v>953</v>
      </c>
      <c r="F227" s="1" t="s">
        <v>1510</v>
      </c>
      <c r="G227" s="1" t="s">
        <v>1510</v>
      </c>
      <c r="H227" s="1" t="s">
        <v>565</v>
      </c>
      <c r="I227" s="1" t="s">
        <v>1175</v>
      </c>
      <c r="J227" s="1" t="s">
        <v>1212</v>
      </c>
      <c r="K227" s="1" t="s">
        <v>448</v>
      </c>
      <c r="L227" s="1" t="s">
        <v>725</v>
      </c>
      <c r="M227" s="5">
        <v>657.5</v>
      </c>
      <c r="N227" s="6">
        <v>44525</v>
      </c>
      <c r="O227" s="6">
        <v>44561</v>
      </c>
      <c r="P227" s="1" t="s">
        <v>1674</v>
      </c>
    </row>
    <row r="228" spans="1:16" hidden="1">
      <c r="A228" s="4">
        <v>311</v>
      </c>
      <c r="B228" s="2" t="str">
        <f>HYPERLINK("https://my.zakupki.prom.ua/remote/dispatcher/state_purchase_view/32300886", "UA-2021-11-26-013376-a")</f>
        <v>UA-2021-11-26-013376-a</v>
      </c>
      <c r="C228" s="2" t="s">
        <v>1276</v>
      </c>
      <c r="D228" s="2" t="str">
        <f>HYPERLINK("https://my.zakupki.prom.ua/remote/dispatcher/state_contracting_view/11558596", "UA-2021-11-26-013376-a-a1")</f>
        <v>UA-2021-11-26-013376-a-a1</v>
      </c>
      <c r="E228" s="1" t="s">
        <v>800</v>
      </c>
      <c r="F228" s="1" t="s">
        <v>1517</v>
      </c>
      <c r="G228" s="1" t="s">
        <v>1517</v>
      </c>
      <c r="H228" s="1" t="s">
        <v>467</v>
      </c>
      <c r="I228" s="1" t="s">
        <v>1175</v>
      </c>
      <c r="J228" s="1" t="s">
        <v>1212</v>
      </c>
      <c r="K228" s="1" t="s">
        <v>448</v>
      </c>
      <c r="L228" s="1" t="s">
        <v>721</v>
      </c>
      <c r="M228" s="5">
        <v>462.5</v>
      </c>
      <c r="N228" s="6">
        <v>44525</v>
      </c>
      <c r="O228" s="6">
        <v>44561</v>
      </c>
      <c r="P228" s="1" t="s">
        <v>1674</v>
      </c>
    </row>
    <row r="229" spans="1:16" hidden="1">
      <c r="A229" s="4">
        <v>312</v>
      </c>
      <c r="B229" s="2" t="str">
        <f>HYPERLINK("https://my.zakupki.prom.ua/remote/dispatcher/state_purchase_view/33131741", "UA-2021-12-15-007719-c")</f>
        <v>UA-2021-12-15-007719-c</v>
      </c>
      <c r="C229" s="2" t="s">
        <v>1276</v>
      </c>
      <c r="D229" s="2" t="str">
        <f>HYPERLINK("https://my.zakupki.prom.ua/remote/dispatcher/state_contracting_view/11948130", "UA-2021-12-15-007719-c-c1")</f>
        <v>UA-2021-12-15-007719-c-c1</v>
      </c>
      <c r="E229" s="1" t="s">
        <v>244</v>
      </c>
      <c r="F229" s="1" t="s">
        <v>1554</v>
      </c>
      <c r="G229" s="1" t="s">
        <v>1554</v>
      </c>
      <c r="H229" s="1" t="s">
        <v>828</v>
      </c>
      <c r="I229" s="1" t="s">
        <v>1175</v>
      </c>
      <c r="J229" s="1" t="s">
        <v>1196</v>
      </c>
      <c r="K229" s="1" t="s">
        <v>468</v>
      </c>
      <c r="L229" s="1" t="s">
        <v>1164</v>
      </c>
      <c r="M229" s="5">
        <v>0.49</v>
      </c>
      <c r="N229" s="6">
        <v>44544</v>
      </c>
      <c r="O229" s="6">
        <v>44561</v>
      </c>
      <c r="P229" s="1" t="s">
        <v>1674</v>
      </c>
    </row>
    <row r="230" spans="1:16" hidden="1">
      <c r="A230" s="4">
        <v>313</v>
      </c>
      <c r="B230" s="2" t="str">
        <f>HYPERLINK("https://my.zakupki.prom.ua/remote/dispatcher/state_purchase_view/33582255", "UA-2021-12-22-018886-c")</f>
        <v>UA-2021-12-22-018886-c</v>
      </c>
      <c r="C230" s="2" t="s">
        <v>1276</v>
      </c>
      <c r="D230" s="2" t="str">
        <f>HYPERLINK("https://my.zakupki.prom.ua/remote/dispatcher/state_contracting_view/12168156", "UA-2021-12-22-018886-c-c1")</f>
        <v>UA-2021-12-22-018886-c-c1</v>
      </c>
      <c r="E230" s="1" t="s">
        <v>984</v>
      </c>
      <c r="F230" s="1" t="s">
        <v>1533</v>
      </c>
      <c r="G230" s="1" t="s">
        <v>1533</v>
      </c>
      <c r="H230" s="1" t="s">
        <v>655</v>
      </c>
      <c r="I230" s="1" t="s">
        <v>1175</v>
      </c>
      <c r="J230" s="1" t="s">
        <v>1138</v>
      </c>
      <c r="K230" s="1" t="s">
        <v>383</v>
      </c>
      <c r="L230" s="1" t="s">
        <v>1162</v>
      </c>
      <c r="M230" s="5">
        <v>6500</v>
      </c>
      <c r="N230" s="6">
        <v>44550</v>
      </c>
      <c r="O230" s="6">
        <v>44561</v>
      </c>
      <c r="P230" s="1" t="s">
        <v>1674</v>
      </c>
    </row>
    <row r="231" spans="1:16" hidden="1">
      <c r="A231" s="4">
        <v>314</v>
      </c>
      <c r="B231" s="2" t="str">
        <f>HYPERLINK("https://my.zakupki.prom.ua/remote/dispatcher/state_purchase_view/30199506", "UA-2021-09-24-003161-b")</f>
        <v>UA-2021-09-24-003161-b</v>
      </c>
      <c r="C231" s="2" t="s">
        <v>1276</v>
      </c>
      <c r="D231" s="2" t="str">
        <f>HYPERLINK("https://my.zakupki.prom.ua/remote/dispatcher/state_contracting_view/10595753", "UA-2021-09-24-003161-b-b1")</f>
        <v>UA-2021-09-24-003161-b-b1</v>
      </c>
      <c r="E231" s="1" t="s">
        <v>914</v>
      </c>
      <c r="F231" s="1" t="s">
        <v>1510</v>
      </c>
      <c r="G231" s="1" t="s">
        <v>1511</v>
      </c>
      <c r="H231" s="1" t="s">
        <v>565</v>
      </c>
      <c r="I231" s="1" t="s">
        <v>1175</v>
      </c>
      <c r="J231" s="1" t="s">
        <v>1212</v>
      </c>
      <c r="K231" s="1" t="s">
        <v>448</v>
      </c>
      <c r="L231" s="1" t="s">
        <v>315</v>
      </c>
      <c r="M231" s="5">
        <v>1062</v>
      </c>
      <c r="N231" s="6">
        <v>44461</v>
      </c>
      <c r="O231" s="6">
        <v>44561</v>
      </c>
      <c r="P231" s="1" t="s">
        <v>1674</v>
      </c>
    </row>
    <row r="232" spans="1:16" hidden="1">
      <c r="A232" s="4">
        <v>315</v>
      </c>
      <c r="B232" s="2" t="str">
        <f>HYPERLINK("https://my.zakupki.prom.ua/remote/dispatcher/state_purchase_view/30978102", "UA-2021-10-21-012992-b")</f>
        <v>UA-2021-10-21-012992-b</v>
      </c>
      <c r="C232" s="2" t="s">
        <v>1276</v>
      </c>
      <c r="D232" s="2" t="str">
        <f>HYPERLINK("https://my.zakupki.prom.ua/remote/dispatcher/state_contracting_view/10951244", "UA-2021-10-21-012992-b-b1")</f>
        <v>UA-2021-10-21-012992-b-b1</v>
      </c>
      <c r="E232" s="1" t="s">
        <v>812</v>
      </c>
      <c r="F232" s="1" t="s">
        <v>1400</v>
      </c>
      <c r="G232" s="1" t="s">
        <v>1400</v>
      </c>
      <c r="H232" s="1" t="s">
        <v>457</v>
      </c>
      <c r="I232" s="1" t="s">
        <v>1175</v>
      </c>
      <c r="J232" s="1" t="s">
        <v>1646</v>
      </c>
      <c r="K232" s="1" t="s">
        <v>252</v>
      </c>
      <c r="L232" s="1" t="s">
        <v>302</v>
      </c>
      <c r="M232" s="5">
        <v>44040</v>
      </c>
      <c r="N232" s="6">
        <v>44490</v>
      </c>
      <c r="O232" s="6">
        <v>44561</v>
      </c>
      <c r="P232" s="1" t="s">
        <v>1674</v>
      </c>
    </row>
    <row r="233" spans="1:16" hidden="1">
      <c r="A233" s="4">
        <v>316</v>
      </c>
      <c r="B233" s="2" t="str">
        <f>HYPERLINK("https://my.zakupki.prom.ua/remote/dispatcher/state_purchase_view/30977313", "UA-2021-10-21-012744-b")</f>
        <v>UA-2021-10-21-012744-b</v>
      </c>
      <c r="C233" s="2" t="s">
        <v>1276</v>
      </c>
      <c r="D233" s="2" t="str">
        <f>HYPERLINK("https://my.zakupki.prom.ua/remote/dispatcher/state_contracting_view/10950779", "UA-2021-10-21-012744-b-b1")</f>
        <v>UA-2021-10-21-012744-b-b1</v>
      </c>
      <c r="E233" s="1" t="s">
        <v>364</v>
      </c>
      <c r="F233" s="1" t="s">
        <v>1562</v>
      </c>
      <c r="G233" s="1" t="s">
        <v>1562</v>
      </c>
      <c r="H233" s="1" t="s">
        <v>633</v>
      </c>
      <c r="I233" s="1" t="s">
        <v>1175</v>
      </c>
      <c r="J233" s="1" t="s">
        <v>1197</v>
      </c>
      <c r="K233" s="1" t="s">
        <v>437</v>
      </c>
      <c r="L233" s="1" t="s">
        <v>513</v>
      </c>
      <c r="M233" s="5">
        <v>1045.9000000000001</v>
      </c>
      <c r="N233" s="6">
        <v>44489</v>
      </c>
      <c r="O233" s="6">
        <v>44561</v>
      </c>
      <c r="P233" s="1" t="s">
        <v>1674</v>
      </c>
    </row>
    <row r="234" spans="1:16" hidden="1">
      <c r="A234" s="4">
        <v>317</v>
      </c>
      <c r="B234" s="2" t="str">
        <f>HYPERLINK("https://my.zakupki.prom.ua/remote/dispatcher/state_purchase_view/33018633", "UA-2021-12-13-018342-c")</f>
        <v>UA-2021-12-13-018342-c</v>
      </c>
      <c r="C234" s="2" t="s">
        <v>1276</v>
      </c>
      <c r="D234" s="2" t="str">
        <f>HYPERLINK("https://my.zakupki.prom.ua/remote/dispatcher/state_contracting_view/11893079", "UA-2021-12-13-018342-c-c1")</f>
        <v>UA-2021-12-13-018342-c-c1</v>
      </c>
      <c r="E234" s="1" t="s">
        <v>572</v>
      </c>
      <c r="F234" s="1" t="s">
        <v>1433</v>
      </c>
      <c r="G234" s="1" t="s">
        <v>1433</v>
      </c>
      <c r="H234" s="1" t="s">
        <v>618</v>
      </c>
      <c r="I234" s="1" t="s">
        <v>1175</v>
      </c>
      <c r="J234" s="1" t="s">
        <v>1202</v>
      </c>
      <c r="K234" s="1" t="s">
        <v>289</v>
      </c>
      <c r="L234" s="1" t="s">
        <v>138</v>
      </c>
      <c r="M234" s="5">
        <v>6000</v>
      </c>
      <c r="N234" s="6">
        <v>44543</v>
      </c>
      <c r="O234" s="6">
        <v>44561</v>
      </c>
      <c r="P234" s="1" t="s">
        <v>1674</v>
      </c>
    </row>
    <row r="235" spans="1:16" hidden="1">
      <c r="A235" s="4">
        <v>318</v>
      </c>
      <c r="B235" s="2" t="str">
        <f>HYPERLINK("https://my.zakupki.prom.ua/remote/dispatcher/state_purchase_view/33016849", "UA-2021-12-13-017663-c")</f>
        <v>UA-2021-12-13-017663-c</v>
      </c>
      <c r="C235" s="2" t="s">
        <v>1276</v>
      </c>
      <c r="D235" s="2" t="str">
        <f>HYPERLINK("https://my.zakupki.prom.ua/remote/dispatcher/state_contracting_view/11892334", "UA-2021-12-13-017663-c-c1")</f>
        <v>UA-2021-12-13-017663-c-c1</v>
      </c>
      <c r="E235" s="1" t="s">
        <v>432</v>
      </c>
      <c r="F235" s="1" t="s">
        <v>1420</v>
      </c>
      <c r="G235" s="1" t="s">
        <v>1420</v>
      </c>
      <c r="H235" s="1" t="s">
        <v>462</v>
      </c>
      <c r="I235" s="1" t="s">
        <v>1175</v>
      </c>
      <c r="J235" s="1" t="s">
        <v>1138</v>
      </c>
      <c r="K235" s="1" t="s">
        <v>383</v>
      </c>
      <c r="L235" s="1" t="s">
        <v>510</v>
      </c>
      <c r="M235" s="5">
        <v>1450</v>
      </c>
      <c r="N235" s="6">
        <v>44540</v>
      </c>
      <c r="O235" s="6">
        <v>44561</v>
      </c>
      <c r="P235" s="1" t="s">
        <v>1674</v>
      </c>
    </row>
    <row r="236" spans="1:16" hidden="1">
      <c r="A236" s="4">
        <v>319</v>
      </c>
      <c r="B236" s="2" t="str">
        <f>HYPERLINK("https://my.zakupki.prom.ua/remote/dispatcher/state_purchase_view/33017545", "UA-2021-12-13-017944-c")</f>
        <v>UA-2021-12-13-017944-c</v>
      </c>
      <c r="C236" s="2" t="s">
        <v>1276</v>
      </c>
      <c r="D236" s="2" t="str">
        <f>HYPERLINK("https://my.zakupki.prom.ua/remote/dispatcher/state_contracting_view/11892555", "UA-2021-12-13-017944-c-c1")</f>
        <v>UA-2021-12-13-017944-c-c1</v>
      </c>
      <c r="E236" s="1" t="s">
        <v>1032</v>
      </c>
      <c r="F236" s="1" t="s">
        <v>1500</v>
      </c>
      <c r="G236" s="1" t="s">
        <v>1500</v>
      </c>
      <c r="H236" s="1" t="s">
        <v>463</v>
      </c>
      <c r="I236" s="1" t="s">
        <v>1175</v>
      </c>
      <c r="J236" s="1" t="s">
        <v>1627</v>
      </c>
      <c r="K236" s="1" t="s">
        <v>538</v>
      </c>
      <c r="L236" s="1" t="s">
        <v>287</v>
      </c>
      <c r="M236" s="5">
        <v>2505</v>
      </c>
      <c r="N236" s="6">
        <v>44540</v>
      </c>
      <c r="O236" s="6">
        <v>44561</v>
      </c>
      <c r="P236" s="1" t="s">
        <v>1674</v>
      </c>
    </row>
    <row r="237" spans="1:16" hidden="1">
      <c r="A237" s="4">
        <v>320</v>
      </c>
      <c r="B237" s="2" t="str">
        <f>HYPERLINK("https://my.zakupki.prom.ua/remote/dispatcher/state_purchase_view/31892245", "UA-2021-11-17-008220-a")</f>
        <v>UA-2021-11-17-008220-a</v>
      </c>
      <c r="C237" s="2" t="s">
        <v>1276</v>
      </c>
      <c r="D237" s="2" t="str">
        <f>HYPERLINK("https://my.zakupki.prom.ua/remote/dispatcher/state_contracting_view/11370755", "UA-2021-11-17-008220-a-a1")</f>
        <v>UA-2021-11-17-008220-a-a1</v>
      </c>
      <c r="E237" s="1" t="s">
        <v>421</v>
      </c>
      <c r="F237" s="1" t="s">
        <v>1531</v>
      </c>
      <c r="G237" s="1" t="s">
        <v>1531</v>
      </c>
      <c r="H237" s="1" t="s">
        <v>325</v>
      </c>
      <c r="I237" s="1" t="s">
        <v>1175</v>
      </c>
      <c r="J237" s="1" t="s">
        <v>1639</v>
      </c>
      <c r="K237" s="1" t="s">
        <v>187</v>
      </c>
      <c r="L237" s="1" t="s">
        <v>634</v>
      </c>
      <c r="M237" s="5">
        <v>5880</v>
      </c>
      <c r="N237" s="6">
        <v>44515</v>
      </c>
      <c r="O237" s="6">
        <v>44561</v>
      </c>
      <c r="P237" s="1" t="s">
        <v>1674</v>
      </c>
    </row>
    <row r="238" spans="1:16" hidden="1">
      <c r="A238" s="4">
        <v>321</v>
      </c>
      <c r="B238" s="2" t="str">
        <f>HYPERLINK("https://my.zakupki.prom.ua/remote/dispatcher/state_purchase_view/23807508", "UA-2021-02-09-005274-a")</f>
        <v>UA-2021-02-09-005274-a</v>
      </c>
      <c r="C238" s="2" t="s">
        <v>1276</v>
      </c>
      <c r="D238" s="2" t="str">
        <f>HYPERLINK("https://my.zakupki.prom.ua/remote/dispatcher/state_contracting_view/7574704", "UA-2021-02-09-005274-a-a1")</f>
        <v>UA-2021-02-09-005274-a-a1</v>
      </c>
      <c r="E238" s="1" t="s">
        <v>731</v>
      </c>
      <c r="F238" s="1" t="s">
        <v>1360</v>
      </c>
      <c r="G238" s="1" t="s">
        <v>1360</v>
      </c>
      <c r="H238" s="1" t="s">
        <v>109</v>
      </c>
      <c r="I238" s="1" t="s">
        <v>1175</v>
      </c>
      <c r="J238" s="1" t="s">
        <v>1146</v>
      </c>
      <c r="K238" s="1" t="s">
        <v>593</v>
      </c>
      <c r="L238" s="1" t="s">
        <v>129</v>
      </c>
      <c r="M238" s="5">
        <v>44797</v>
      </c>
      <c r="N238" s="6">
        <v>44231</v>
      </c>
      <c r="O238" s="6">
        <v>44561</v>
      </c>
      <c r="P238" s="1" t="s">
        <v>1674</v>
      </c>
    </row>
    <row r="239" spans="1:16" hidden="1">
      <c r="A239" s="4">
        <v>322</v>
      </c>
      <c r="B239" s="2" t="str">
        <f>HYPERLINK("https://my.zakupki.prom.ua/remote/dispatcher/state_purchase_view/23802242", "UA-2021-02-09-003825-a")</f>
        <v>UA-2021-02-09-003825-a</v>
      </c>
      <c r="C239" s="2" t="s">
        <v>1276</v>
      </c>
      <c r="D239" s="2" t="str">
        <f>HYPERLINK("https://my.zakupki.prom.ua/remote/dispatcher/state_contracting_view/7572403", "UA-2021-02-09-003825-a-a1")</f>
        <v>UA-2021-02-09-003825-a-a1</v>
      </c>
      <c r="E239" s="1" t="s">
        <v>332</v>
      </c>
      <c r="F239" s="1" t="s">
        <v>1256</v>
      </c>
      <c r="G239" s="1" t="s">
        <v>1256</v>
      </c>
      <c r="H239" s="1" t="s">
        <v>715</v>
      </c>
      <c r="I239" s="1" t="s">
        <v>1175</v>
      </c>
      <c r="J239" s="1" t="s">
        <v>1147</v>
      </c>
      <c r="K239" s="1" t="s">
        <v>329</v>
      </c>
      <c r="L239" s="1" t="s">
        <v>125</v>
      </c>
      <c r="M239" s="5">
        <v>12028</v>
      </c>
      <c r="N239" s="6">
        <v>44231</v>
      </c>
      <c r="O239" s="6">
        <v>44561</v>
      </c>
      <c r="P239" s="1" t="s">
        <v>1674</v>
      </c>
    </row>
    <row r="240" spans="1:16" hidden="1">
      <c r="A240" s="4">
        <v>323</v>
      </c>
      <c r="B240" s="2" t="str">
        <f>HYPERLINK("https://my.zakupki.prom.ua/remote/dispatcher/state_purchase_view/23865439", "UA-2021-02-10-007095-a")</f>
        <v>UA-2021-02-10-007095-a</v>
      </c>
      <c r="C240" s="2" t="s">
        <v>1276</v>
      </c>
      <c r="D240" s="2" t="str">
        <f>HYPERLINK("https://my.zakupki.prom.ua/remote/dispatcher/state_contracting_view/7601160", "UA-2021-02-10-007095-a-a1")</f>
        <v>UA-2021-02-10-007095-a-a1</v>
      </c>
      <c r="E240" s="1" t="s">
        <v>1013</v>
      </c>
      <c r="F240" s="1" t="s">
        <v>1271</v>
      </c>
      <c r="G240" s="1" t="s">
        <v>1271</v>
      </c>
      <c r="H240" s="1" t="s">
        <v>633</v>
      </c>
      <c r="I240" s="1" t="s">
        <v>1175</v>
      </c>
      <c r="J240" s="1" t="s">
        <v>1197</v>
      </c>
      <c r="K240" s="1" t="s">
        <v>437</v>
      </c>
      <c r="L240" s="1" t="s">
        <v>190</v>
      </c>
      <c r="M240" s="5">
        <v>5000</v>
      </c>
      <c r="N240" s="6">
        <v>44237</v>
      </c>
      <c r="O240" s="6">
        <v>44561</v>
      </c>
      <c r="P240" s="1" t="s">
        <v>1674</v>
      </c>
    </row>
    <row r="241" spans="1:16" hidden="1">
      <c r="A241" s="4">
        <v>324</v>
      </c>
      <c r="B241" s="2" t="str">
        <f>HYPERLINK("https://my.zakupki.prom.ua/remote/dispatcher/state_purchase_view/26614968", "UA-2021-05-18-000968-b")</f>
        <v>UA-2021-05-18-000968-b</v>
      </c>
      <c r="C241" s="2" t="s">
        <v>1276</v>
      </c>
      <c r="D241" s="2" t="str">
        <f>HYPERLINK("https://my.zakupki.prom.ua/remote/dispatcher/state_contracting_view/8908601", "UA-2021-05-18-000968-b-b1")</f>
        <v>UA-2021-05-18-000968-b-b1</v>
      </c>
      <c r="E241" s="1" t="s">
        <v>694</v>
      </c>
      <c r="F241" s="1" t="s">
        <v>1283</v>
      </c>
      <c r="G241" s="1" t="s">
        <v>1283</v>
      </c>
      <c r="H241" s="1" t="s">
        <v>742</v>
      </c>
      <c r="I241" s="1" t="s">
        <v>1175</v>
      </c>
      <c r="J241" s="1" t="s">
        <v>1197</v>
      </c>
      <c r="K241" s="1" t="s">
        <v>437</v>
      </c>
      <c r="L241" s="1" t="s">
        <v>385</v>
      </c>
      <c r="M241" s="5">
        <v>1.2</v>
      </c>
      <c r="N241" s="6">
        <v>44333</v>
      </c>
      <c r="O241" s="6">
        <v>44561</v>
      </c>
      <c r="P241" s="1" t="s">
        <v>1674</v>
      </c>
    </row>
    <row r="242" spans="1:16" hidden="1">
      <c r="A242" s="4">
        <v>325</v>
      </c>
      <c r="B242" s="2" t="str">
        <f>HYPERLINK("https://my.zakupki.prom.ua/remote/dispatcher/state_purchase_view/24580613", "UA-2021-03-03-011498-c")</f>
        <v>UA-2021-03-03-011498-c</v>
      </c>
      <c r="C242" s="2" t="s">
        <v>1276</v>
      </c>
      <c r="D242" s="2" t="str">
        <f>HYPERLINK("https://my.zakupki.prom.ua/remote/dispatcher/state_contracting_view/7941602", "UA-2021-03-03-011498-c-c1")</f>
        <v>UA-2021-03-03-011498-c-c1</v>
      </c>
      <c r="E242" s="1" t="s">
        <v>324</v>
      </c>
      <c r="F242" s="1" t="s">
        <v>1526</v>
      </c>
      <c r="G242" s="1" t="s">
        <v>1526</v>
      </c>
      <c r="H242" s="1" t="s">
        <v>606</v>
      </c>
      <c r="I242" s="1" t="s">
        <v>1175</v>
      </c>
      <c r="J242" s="1" t="s">
        <v>1635</v>
      </c>
      <c r="K242" s="1" t="s">
        <v>587</v>
      </c>
      <c r="L242" s="1" t="s">
        <v>8</v>
      </c>
      <c r="M242" s="5">
        <v>3499.8</v>
      </c>
      <c r="N242" s="6">
        <v>44256</v>
      </c>
      <c r="O242" s="6">
        <v>44561</v>
      </c>
      <c r="P242" s="1" t="s">
        <v>1674</v>
      </c>
    </row>
    <row r="243" spans="1:16" hidden="1">
      <c r="A243" s="4">
        <v>326</v>
      </c>
      <c r="B243" s="2" t="str">
        <f>HYPERLINK("https://my.zakupki.prom.ua/remote/dispatcher/state_purchase_view/25890518", "UA-2021-04-16-003679-b")</f>
        <v>UA-2021-04-16-003679-b</v>
      </c>
      <c r="C243" s="2" t="s">
        <v>1276</v>
      </c>
      <c r="D243" s="2" t="str">
        <f>HYPERLINK("https://my.zakupki.prom.ua/remote/dispatcher/state_contracting_view/8560954", "UA-2021-04-16-003679-b-b1")</f>
        <v>UA-2021-04-16-003679-b-b1</v>
      </c>
      <c r="E243" s="1" t="s">
        <v>880</v>
      </c>
      <c r="F243" s="1" t="s">
        <v>1471</v>
      </c>
      <c r="G243" s="1" t="s">
        <v>1471</v>
      </c>
      <c r="H243" s="1" t="s">
        <v>625</v>
      </c>
      <c r="I243" s="1" t="s">
        <v>1175</v>
      </c>
      <c r="J243" s="1" t="s">
        <v>1202</v>
      </c>
      <c r="K243" s="1" t="s">
        <v>289</v>
      </c>
      <c r="L243" s="1" t="s">
        <v>184</v>
      </c>
      <c r="M243" s="5">
        <v>780</v>
      </c>
      <c r="N243" s="6">
        <v>44301</v>
      </c>
      <c r="O243" s="6">
        <v>44561</v>
      </c>
      <c r="P243" s="1" t="s">
        <v>1674</v>
      </c>
    </row>
    <row r="244" spans="1:16" hidden="1">
      <c r="A244" s="4">
        <v>327</v>
      </c>
      <c r="B244" s="2" t="str">
        <f>HYPERLINK("https://my.zakupki.prom.ua/remote/dispatcher/state_purchase_view/25890098", "UA-2021-04-16-003453-b")</f>
        <v>UA-2021-04-16-003453-b</v>
      </c>
      <c r="C244" s="2" t="s">
        <v>1276</v>
      </c>
      <c r="D244" s="2" t="str">
        <f>HYPERLINK("https://my.zakupki.prom.ua/remote/dispatcher/state_contracting_view/8560798", "UA-2021-04-16-003453-b-b1")</f>
        <v>UA-2021-04-16-003453-b-b1</v>
      </c>
      <c r="E244" s="1" t="s">
        <v>858</v>
      </c>
      <c r="F244" s="1" t="s">
        <v>1470</v>
      </c>
      <c r="G244" s="1" t="s">
        <v>1470</v>
      </c>
      <c r="H244" s="1" t="s">
        <v>619</v>
      </c>
      <c r="I244" s="1" t="s">
        <v>1175</v>
      </c>
      <c r="J244" s="1" t="s">
        <v>1202</v>
      </c>
      <c r="K244" s="1" t="s">
        <v>289</v>
      </c>
      <c r="L244" s="1" t="s">
        <v>184</v>
      </c>
      <c r="M244" s="5">
        <v>510</v>
      </c>
      <c r="N244" s="6">
        <v>44301</v>
      </c>
      <c r="O244" s="6">
        <v>44561</v>
      </c>
      <c r="P244" s="1" t="s">
        <v>1674</v>
      </c>
    </row>
    <row r="245" spans="1:16" hidden="1">
      <c r="A245" s="4">
        <v>328</v>
      </c>
      <c r="B245" s="2" t="str">
        <f>HYPERLINK("https://my.zakupki.prom.ua/remote/dispatcher/state_purchase_view/25883379", "UA-2021-04-16-001109-b")</f>
        <v>UA-2021-04-16-001109-b</v>
      </c>
      <c r="C245" s="2" t="s">
        <v>1276</v>
      </c>
      <c r="D245" s="2" t="str">
        <f>HYPERLINK("https://my.zakupki.prom.ua/remote/dispatcher/state_contracting_view/8557804", "UA-2021-04-16-001109-b-b1")</f>
        <v>UA-2021-04-16-001109-b-b1</v>
      </c>
      <c r="E245" s="1" t="s">
        <v>734</v>
      </c>
      <c r="F245" s="1" t="s">
        <v>1536</v>
      </c>
      <c r="G245" s="1" t="s">
        <v>1536</v>
      </c>
      <c r="H245" s="1" t="s">
        <v>655</v>
      </c>
      <c r="I245" s="1" t="s">
        <v>1175</v>
      </c>
      <c r="J245" s="1" t="s">
        <v>1138</v>
      </c>
      <c r="K245" s="1" t="s">
        <v>383</v>
      </c>
      <c r="L245" s="1" t="s">
        <v>192</v>
      </c>
      <c r="M245" s="5">
        <v>26510</v>
      </c>
      <c r="N245" s="6">
        <v>44301</v>
      </c>
      <c r="O245" s="6">
        <v>44561</v>
      </c>
      <c r="P245" s="1" t="s">
        <v>1674</v>
      </c>
    </row>
    <row r="246" spans="1:16" hidden="1">
      <c r="A246" s="4">
        <v>329</v>
      </c>
      <c r="B246" s="2" t="str">
        <f>HYPERLINK("https://my.zakupki.prom.ua/remote/dispatcher/state_purchase_view/24913084", "UA-2021-03-16-000168-b")</f>
        <v>UA-2021-03-16-000168-b</v>
      </c>
      <c r="C246" s="2" t="s">
        <v>1276</v>
      </c>
      <c r="D246" s="2" t="str">
        <f>HYPERLINK("https://my.zakupki.prom.ua/remote/dispatcher/state_contracting_view/8095506", "UA-2021-03-16-000168-b-b1")</f>
        <v>UA-2021-03-16-000168-b-b1</v>
      </c>
      <c r="E246" s="1" t="s">
        <v>873</v>
      </c>
      <c r="F246" s="1" t="s">
        <v>1486</v>
      </c>
      <c r="G246" s="1" t="s">
        <v>1486</v>
      </c>
      <c r="H246" s="1" t="s">
        <v>458</v>
      </c>
      <c r="I246" s="1" t="s">
        <v>1175</v>
      </c>
      <c r="J246" s="1" t="s">
        <v>1287</v>
      </c>
      <c r="K246" s="1" t="s">
        <v>356</v>
      </c>
      <c r="L246" s="1" t="s">
        <v>191</v>
      </c>
      <c r="M246" s="5">
        <v>1400</v>
      </c>
      <c r="N246" s="6">
        <v>44270</v>
      </c>
      <c r="O246" s="6">
        <v>44561</v>
      </c>
      <c r="P246" s="1" t="s">
        <v>1674</v>
      </c>
    </row>
    <row r="247" spans="1:16" hidden="1">
      <c r="A247" s="4">
        <v>330</v>
      </c>
      <c r="B247" s="2" t="str">
        <f>HYPERLINK("https://my.zakupki.prom.ua/remote/dispatcher/state_purchase_view/25204822", "UA-2021-03-24-006466-a")</f>
        <v>UA-2021-03-24-006466-a</v>
      </c>
      <c r="C247" s="2" t="s">
        <v>1276</v>
      </c>
      <c r="D247" s="2" t="str">
        <f>HYPERLINK("https://my.zakupki.prom.ua/remote/dispatcher/state_contracting_view/8244491", "UA-2021-03-24-006466-a-a1")</f>
        <v>UA-2021-03-24-006466-a-a1</v>
      </c>
      <c r="E247" s="1" t="s">
        <v>1047</v>
      </c>
      <c r="F247" s="1" t="s">
        <v>1578</v>
      </c>
      <c r="G247" s="1" t="s">
        <v>1578</v>
      </c>
      <c r="H247" s="1" t="s">
        <v>795</v>
      </c>
      <c r="I247" s="1" t="s">
        <v>1175</v>
      </c>
      <c r="J247" s="1" t="s">
        <v>1230</v>
      </c>
      <c r="K247" s="1" t="s">
        <v>391</v>
      </c>
      <c r="L247" s="1" t="s">
        <v>419</v>
      </c>
      <c r="M247" s="5">
        <v>6480</v>
      </c>
      <c r="N247" s="6">
        <v>44279</v>
      </c>
      <c r="O247" s="6">
        <v>44561</v>
      </c>
      <c r="P247" s="1" t="s">
        <v>1674</v>
      </c>
    </row>
    <row r="248" spans="1:16" hidden="1">
      <c r="A248" s="4">
        <v>331</v>
      </c>
      <c r="B248" s="2" t="str">
        <f>HYPERLINK("https://my.zakupki.prom.ua/remote/dispatcher/state_purchase_view/25043770", "UA-2021-03-18-008564-a")</f>
        <v>UA-2021-03-18-008564-a</v>
      </c>
      <c r="C248" s="2" t="s">
        <v>1276</v>
      </c>
      <c r="D248" s="2" t="str">
        <f>HYPERLINK("https://my.zakupki.prom.ua/remote/dispatcher/state_contracting_view/8162279", "UA-2021-03-18-008564-a-a1")</f>
        <v>UA-2021-03-18-008564-a-a1</v>
      </c>
      <c r="E248" s="1" t="s">
        <v>972</v>
      </c>
      <c r="F248" s="1" t="s">
        <v>1448</v>
      </c>
      <c r="G248" s="1" t="s">
        <v>1448</v>
      </c>
      <c r="H248" s="1" t="s">
        <v>471</v>
      </c>
      <c r="I248" s="1" t="s">
        <v>1175</v>
      </c>
      <c r="J248" s="1" t="s">
        <v>1202</v>
      </c>
      <c r="K248" s="1" t="s">
        <v>289</v>
      </c>
      <c r="L248" s="1" t="s">
        <v>224</v>
      </c>
      <c r="M248" s="5">
        <v>460</v>
      </c>
      <c r="N248" s="6">
        <v>44273</v>
      </c>
      <c r="O248" s="6">
        <v>44561</v>
      </c>
      <c r="P248" s="1" t="s">
        <v>1674</v>
      </c>
    </row>
    <row r="249" spans="1:16" hidden="1">
      <c r="A249" s="4">
        <v>332</v>
      </c>
      <c r="B249" s="2" t="str">
        <f>HYPERLINK("https://my.zakupki.prom.ua/remote/dispatcher/state_purchase_view/25042846", "UA-2021-03-18-008172-a")</f>
        <v>UA-2021-03-18-008172-a</v>
      </c>
      <c r="C249" s="2" t="s">
        <v>1276</v>
      </c>
      <c r="D249" s="2" t="str">
        <f>HYPERLINK("https://my.zakupki.prom.ua/remote/dispatcher/state_contracting_view/8161937", "UA-2021-03-18-008172-a-a1")</f>
        <v>UA-2021-03-18-008172-a-a1</v>
      </c>
      <c r="E249" s="1" t="s">
        <v>408</v>
      </c>
      <c r="F249" s="1" t="s">
        <v>1412</v>
      </c>
      <c r="G249" s="1" t="s">
        <v>1413</v>
      </c>
      <c r="H249" s="1" t="s">
        <v>622</v>
      </c>
      <c r="I249" s="1" t="s">
        <v>1175</v>
      </c>
      <c r="J249" s="1" t="s">
        <v>1202</v>
      </c>
      <c r="K249" s="1" t="s">
        <v>289</v>
      </c>
      <c r="L249" s="1" t="s">
        <v>222</v>
      </c>
      <c r="M249" s="5">
        <v>1800</v>
      </c>
      <c r="N249" s="6">
        <v>44273</v>
      </c>
      <c r="O249" s="6">
        <v>44561</v>
      </c>
      <c r="P249" s="1" t="s">
        <v>1674</v>
      </c>
    </row>
    <row r="250" spans="1:16" hidden="1">
      <c r="A250" s="4">
        <v>333</v>
      </c>
      <c r="B250" s="2" t="str">
        <f>HYPERLINK("https://my.zakupki.prom.ua/remote/dispatcher/state_purchase_view/24967572", "UA-2021-03-17-002587-c")</f>
        <v>UA-2021-03-17-002587-c</v>
      </c>
      <c r="C250" s="2" t="s">
        <v>1276</v>
      </c>
      <c r="D250" s="2" t="str">
        <f>HYPERLINK("https://my.zakupki.prom.ua/remote/dispatcher/state_contracting_view/8121572", "UA-2021-03-17-002587-c-c1")</f>
        <v>UA-2021-03-17-002587-c-c1</v>
      </c>
      <c r="E250" s="1" t="s">
        <v>271</v>
      </c>
      <c r="F250" s="1" t="s">
        <v>1437</v>
      </c>
      <c r="G250" s="1" t="s">
        <v>1437</v>
      </c>
      <c r="H250" s="1" t="s">
        <v>619</v>
      </c>
      <c r="I250" s="1" t="s">
        <v>1175</v>
      </c>
      <c r="J250" s="1" t="s">
        <v>1202</v>
      </c>
      <c r="K250" s="1" t="s">
        <v>289</v>
      </c>
      <c r="L250" s="1" t="s">
        <v>206</v>
      </c>
      <c r="M250" s="5">
        <v>16</v>
      </c>
      <c r="N250" s="6">
        <v>44271</v>
      </c>
      <c r="O250" s="6">
        <v>44561</v>
      </c>
      <c r="P250" s="1" t="s">
        <v>1674</v>
      </c>
    </row>
    <row r="251" spans="1:16" hidden="1">
      <c r="A251" s="4">
        <v>334</v>
      </c>
      <c r="B251" s="2" t="str">
        <f>HYPERLINK("https://my.zakupki.prom.ua/remote/dispatcher/state_purchase_view/24963598", "UA-2021-03-17-001163-c")</f>
        <v>UA-2021-03-17-001163-c</v>
      </c>
      <c r="C251" s="2" t="s">
        <v>1276</v>
      </c>
      <c r="D251" s="2" t="str">
        <f>HYPERLINK("https://my.zakupki.prom.ua/remote/dispatcher/state_contracting_view/8119499", "UA-2021-03-17-001163-c-c1")</f>
        <v>UA-2021-03-17-001163-c-c1</v>
      </c>
      <c r="E251" s="1" t="s">
        <v>805</v>
      </c>
      <c r="F251" s="1" t="s">
        <v>1484</v>
      </c>
      <c r="G251" s="1" t="s">
        <v>1484</v>
      </c>
      <c r="H251" s="1" t="s">
        <v>612</v>
      </c>
      <c r="I251" s="1" t="s">
        <v>1175</v>
      </c>
      <c r="J251" s="1" t="s">
        <v>1202</v>
      </c>
      <c r="K251" s="1" t="s">
        <v>289</v>
      </c>
      <c r="L251" s="1" t="s">
        <v>212</v>
      </c>
      <c r="M251" s="5">
        <v>3400</v>
      </c>
      <c r="N251" s="6">
        <v>44270</v>
      </c>
      <c r="O251" s="6">
        <v>44561</v>
      </c>
      <c r="P251" s="1" t="s">
        <v>1674</v>
      </c>
    </row>
    <row r="252" spans="1:16" hidden="1">
      <c r="A252" s="4">
        <v>335</v>
      </c>
      <c r="B252" s="2" t="str">
        <f>HYPERLINK("https://my.zakupki.prom.ua/remote/dispatcher/state_purchase_view/25057211", "UA-2021-03-19-000148-b")</f>
        <v>UA-2021-03-19-000148-b</v>
      </c>
      <c r="C252" s="2" t="s">
        <v>1276</v>
      </c>
      <c r="D252" s="2" t="str">
        <f>HYPERLINK("https://my.zakupki.prom.ua/remote/dispatcher/state_contracting_view/8164377", "UA-2021-03-19-000148-b-b1")</f>
        <v>UA-2021-03-19-000148-b-b1</v>
      </c>
      <c r="E252" s="1" t="s">
        <v>822</v>
      </c>
      <c r="F252" s="1" t="s">
        <v>1449</v>
      </c>
      <c r="G252" s="1" t="s">
        <v>1449</v>
      </c>
      <c r="H252" s="1" t="s">
        <v>622</v>
      </c>
      <c r="I252" s="1" t="s">
        <v>1175</v>
      </c>
      <c r="J252" s="1" t="s">
        <v>1202</v>
      </c>
      <c r="K252" s="1" t="s">
        <v>289</v>
      </c>
      <c r="L252" s="1" t="s">
        <v>224</v>
      </c>
      <c r="M252" s="5">
        <v>202</v>
      </c>
      <c r="N252" s="6">
        <v>44273</v>
      </c>
      <c r="O252" s="6">
        <v>44561</v>
      </c>
      <c r="P252" s="1" t="s">
        <v>1674</v>
      </c>
    </row>
    <row r="253" spans="1:16" hidden="1">
      <c r="A253" s="4">
        <v>336</v>
      </c>
      <c r="B253" s="2" t="str">
        <f>HYPERLINK("https://my.zakupki.prom.ua/remote/dispatcher/state_purchase_view/25519137", "UA-2021-04-05-002422-a")</f>
        <v>UA-2021-04-05-002422-a</v>
      </c>
      <c r="C253" s="2" t="s">
        <v>1276</v>
      </c>
      <c r="D253" s="2" t="str">
        <f>HYPERLINK("https://my.zakupki.prom.ua/remote/dispatcher/state_contracting_view/8384411", "UA-2021-04-05-002422-a-a1")</f>
        <v>UA-2021-04-05-002422-a-a1</v>
      </c>
      <c r="E253" s="1" t="s">
        <v>993</v>
      </c>
      <c r="F253" s="1" t="s">
        <v>1176</v>
      </c>
      <c r="G253" s="1" t="s">
        <v>1176</v>
      </c>
      <c r="H253" s="1" t="s">
        <v>610</v>
      </c>
      <c r="I253" s="1" t="s">
        <v>1175</v>
      </c>
      <c r="J253" s="1" t="s">
        <v>1605</v>
      </c>
      <c r="K253" s="1" t="s">
        <v>380</v>
      </c>
      <c r="L253" s="1" t="s">
        <v>52</v>
      </c>
      <c r="M253" s="5">
        <v>3586.1</v>
      </c>
      <c r="N253" s="6">
        <v>44291</v>
      </c>
      <c r="O253" s="6">
        <v>44561</v>
      </c>
      <c r="P253" s="1" t="s">
        <v>1674</v>
      </c>
    </row>
    <row r="254" spans="1:16" hidden="1">
      <c r="A254" s="4">
        <v>337</v>
      </c>
      <c r="B254" s="2" t="str">
        <f>HYPERLINK("https://my.zakupki.prom.ua/remote/dispatcher/state_purchase_view/25672073", "UA-2021-04-09-000812-a")</f>
        <v>UA-2021-04-09-000812-a</v>
      </c>
      <c r="C254" s="2" t="s">
        <v>1276</v>
      </c>
      <c r="D254" s="2" t="str">
        <f>HYPERLINK("https://my.zakupki.prom.ua/remote/dispatcher/state_contracting_view/8456802", "UA-2021-04-09-000812-a-a1")</f>
        <v>UA-2021-04-09-000812-a-a1</v>
      </c>
      <c r="E254" s="1" t="s">
        <v>844</v>
      </c>
      <c r="F254" s="1" t="s">
        <v>1424</v>
      </c>
      <c r="G254" s="1" t="s">
        <v>1424</v>
      </c>
      <c r="H254" s="1" t="s">
        <v>619</v>
      </c>
      <c r="I254" s="1" t="s">
        <v>1175</v>
      </c>
      <c r="J254" s="1" t="s">
        <v>1089</v>
      </c>
      <c r="K254" s="1" t="s">
        <v>341</v>
      </c>
      <c r="L254" s="1" t="s">
        <v>62</v>
      </c>
      <c r="M254" s="5">
        <v>192</v>
      </c>
      <c r="N254" s="6">
        <v>44293</v>
      </c>
      <c r="O254" s="6">
        <v>44561</v>
      </c>
      <c r="P254" s="1" t="s">
        <v>1674</v>
      </c>
    </row>
    <row r="255" spans="1:16" hidden="1">
      <c r="A255" s="4">
        <v>338</v>
      </c>
      <c r="B255" s="2" t="str">
        <f>HYPERLINK("https://my.zakupki.prom.ua/remote/dispatcher/state_purchase_view/25670438", "UA-2021-04-09-000198-a")</f>
        <v>UA-2021-04-09-000198-a</v>
      </c>
      <c r="C255" s="2" t="s">
        <v>1276</v>
      </c>
      <c r="D255" s="2" t="str">
        <f>HYPERLINK("https://my.zakupki.prom.ua/remote/dispatcher/state_contracting_view/8456203", "UA-2021-04-09-000198-a-a1")</f>
        <v>UA-2021-04-09-000198-a-a1</v>
      </c>
      <c r="E255" s="1" t="s">
        <v>716</v>
      </c>
      <c r="F255" s="1" t="s">
        <v>1399</v>
      </c>
      <c r="G255" s="1" t="s">
        <v>1399</v>
      </c>
      <c r="H255" s="1" t="s">
        <v>44</v>
      </c>
      <c r="I255" s="1" t="s">
        <v>1175</v>
      </c>
      <c r="J255" s="1" t="s">
        <v>1668</v>
      </c>
      <c r="K255" s="1" t="s">
        <v>374</v>
      </c>
      <c r="L255" s="1" t="s">
        <v>81</v>
      </c>
      <c r="M255" s="5">
        <v>1960</v>
      </c>
      <c r="N255" s="6">
        <v>44294</v>
      </c>
      <c r="O255" s="6">
        <v>44561</v>
      </c>
      <c r="P255" s="1" t="s">
        <v>1674</v>
      </c>
    </row>
    <row r="256" spans="1:16" hidden="1">
      <c r="A256" s="4">
        <v>339</v>
      </c>
      <c r="B256" s="2" t="str">
        <f>HYPERLINK("https://my.zakupki.prom.ua/remote/dispatcher/state_purchase_view/26492926", "UA-2021-05-14-007192-c")</f>
        <v>UA-2021-05-14-007192-c</v>
      </c>
      <c r="C256" s="2" t="s">
        <v>1276</v>
      </c>
      <c r="D256" s="2" t="str">
        <f>HYPERLINK("https://my.zakupki.prom.ua/remote/dispatcher/state_contracting_view/9119403", "UA-2021-05-14-007192-c-b1")</f>
        <v>UA-2021-05-14-007192-c-b1</v>
      </c>
      <c r="E256" s="1" t="s">
        <v>879</v>
      </c>
      <c r="F256" s="1" t="s">
        <v>1331</v>
      </c>
      <c r="G256" s="1" t="s">
        <v>1331</v>
      </c>
      <c r="H256" s="1" t="s">
        <v>658</v>
      </c>
      <c r="I256" s="1" t="s">
        <v>1610</v>
      </c>
      <c r="J256" s="1" t="s">
        <v>1656</v>
      </c>
      <c r="K256" s="1" t="s">
        <v>407</v>
      </c>
      <c r="L256" s="1" t="s">
        <v>60</v>
      </c>
      <c r="M256" s="5">
        <v>37898.5</v>
      </c>
      <c r="N256" s="6">
        <v>44347</v>
      </c>
      <c r="O256" s="6">
        <v>44561</v>
      </c>
      <c r="P256" s="1" t="s">
        <v>1676</v>
      </c>
    </row>
    <row r="257" spans="1:16" hidden="1">
      <c r="A257" s="4">
        <v>340</v>
      </c>
      <c r="B257" s="2" t="str">
        <f>HYPERLINK("https://my.zakupki.prom.ua/remote/dispatcher/state_purchase_view/30193663", "UA-2021-09-24-001378-b")</f>
        <v>UA-2021-09-24-001378-b</v>
      </c>
      <c r="C257" s="2" t="s">
        <v>1276</v>
      </c>
      <c r="D257" s="2" t="str">
        <f>HYPERLINK("https://my.zakupki.prom.ua/remote/dispatcher/state_contracting_view/10589554", "UA-2021-09-24-001378-b-b1")</f>
        <v>UA-2021-09-24-001378-b-b1</v>
      </c>
      <c r="E257" s="1" t="s">
        <v>699</v>
      </c>
      <c r="F257" s="1" t="s">
        <v>1507</v>
      </c>
      <c r="G257" s="1" t="s">
        <v>1508</v>
      </c>
      <c r="H257" s="1" t="s">
        <v>555</v>
      </c>
      <c r="I257" s="1" t="s">
        <v>1175</v>
      </c>
      <c r="J257" s="1" t="s">
        <v>1212</v>
      </c>
      <c r="K257" s="1" t="s">
        <v>448</v>
      </c>
      <c r="L257" s="1" t="s">
        <v>315</v>
      </c>
      <c r="M257" s="5">
        <v>1349</v>
      </c>
      <c r="N257" s="6">
        <v>44461</v>
      </c>
      <c r="O257" s="6">
        <v>44561</v>
      </c>
      <c r="P257" s="1" t="s">
        <v>1674</v>
      </c>
    </row>
    <row r="258" spans="1:16" hidden="1">
      <c r="A258" s="4">
        <v>341</v>
      </c>
      <c r="B258" s="2" t="str">
        <f>HYPERLINK("https://my.zakupki.prom.ua/remote/dispatcher/state_purchase_view/30190574", "UA-2021-09-24-000561-b")</f>
        <v>UA-2021-09-24-000561-b</v>
      </c>
      <c r="C258" s="2" t="s">
        <v>1276</v>
      </c>
      <c r="D258" s="2" t="str">
        <f>HYPERLINK("https://my.zakupki.prom.ua/remote/dispatcher/state_contracting_view/10588297", "UA-2021-09-24-000561-b-b1")</f>
        <v>UA-2021-09-24-000561-b-b1</v>
      </c>
      <c r="E258" s="1" t="s">
        <v>958</v>
      </c>
      <c r="F258" s="1" t="s">
        <v>1512</v>
      </c>
      <c r="G258" s="1" t="s">
        <v>1513</v>
      </c>
      <c r="H258" s="1" t="s">
        <v>500</v>
      </c>
      <c r="I258" s="1" t="s">
        <v>1175</v>
      </c>
      <c r="J258" s="1" t="s">
        <v>1212</v>
      </c>
      <c r="K258" s="1" t="s">
        <v>448</v>
      </c>
      <c r="L258" s="1" t="s">
        <v>315</v>
      </c>
      <c r="M258" s="5">
        <v>140</v>
      </c>
      <c r="N258" s="6">
        <v>44461</v>
      </c>
      <c r="O258" s="6">
        <v>44561</v>
      </c>
      <c r="P258" s="1" t="s">
        <v>1674</v>
      </c>
    </row>
    <row r="259" spans="1:16" hidden="1">
      <c r="A259" s="4">
        <v>342</v>
      </c>
      <c r="B259" s="2" t="str">
        <f>HYPERLINK("https://my.zakupki.prom.ua/remote/dispatcher/state_purchase_view/31893761", "UA-2021-11-17-008685-a")</f>
        <v>UA-2021-11-17-008685-a</v>
      </c>
      <c r="C259" s="2" t="s">
        <v>1276</v>
      </c>
      <c r="D259" s="2" t="str">
        <f>HYPERLINK("https://my.zakupki.prom.ua/remote/dispatcher/state_contracting_view/11371267", "UA-2021-11-17-008685-a-a1")</f>
        <v>UA-2021-11-17-008685-a-a1</v>
      </c>
      <c r="E259" s="1" t="s">
        <v>962</v>
      </c>
      <c r="F259" s="1" t="s">
        <v>1238</v>
      </c>
      <c r="G259" s="1" t="s">
        <v>1238</v>
      </c>
      <c r="H259" s="1" t="s">
        <v>438</v>
      </c>
      <c r="I259" s="1" t="s">
        <v>1175</v>
      </c>
      <c r="J259" s="1" t="s">
        <v>1091</v>
      </c>
      <c r="K259" s="1" t="s">
        <v>423</v>
      </c>
      <c r="L259" s="1" t="s">
        <v>91</v>
      </c>
      <c r="M259" s="5">
        <v>3112</v>
      </c>
      <c r="N259" s="6">
        <v>44516</v>
      </c>
      <c r="O259" s="6">
        <v>44561</v>
      </c>
      <c r="P259" s="1" t="s">
        <v>1674</v>
      </c>
    </row>
    <row r="260" spans="1:16" hidden="1">
      <c r="A260" s="4">
        <v>343</v>
      </c>
      <c r="B260" s="2" t="str">
        <f>HYPERLINK("https://my.zakupki.prom.ua/remote/dispatcher/state_purchase_view/31214522", "UA-2021-10-28-006291-a")</f>
        <v>UA-2021-10-28-006291-a</v>
      </c>
      <c r="C260" s="2" t="s">
        <v>1276</v>
      </c>
      <c r="D260" s="2" t="str">
        <f>HYPERLINK("https://my.zakupki.prom.ua/remote/dispatcher/state_contracting_view/11059457", "UA-2021-10-28-006291-a-a1")</f>
        <v>UA-2021-10-28-006291-a-a1</v>
      </c>
      <c r="E260" s="1" t="s">
        <v>888</v>
      </c>
      <c r="F260" s="1" t="s">
        <v>1425</v>
      </c>
      <c r="G260" s="1" t="s">
        <v>1425</v>
      </c>
      <c r="H260" s="1" t="s">
        <v>625</v>
      </c>
      <c r="I260" s="1" t="s">
        <v>1175</v>
      </c>
      <c r="J260" s="1" t="s">
        <v>1089</v>
      </c>
      <c r="K260" s="1" t="s">
        <v>341</v>
      </c>
      <c r="L260" s="1" t="s">
        <v>397</v>
      </c>
      <c r="M260" s="5">
        <v>217</v>
      </c>
      <c r="N260" s="6">
        <v>44495</v>
      </c>
      <c r="O260" s="6">
        <v>44561</v>
      </c>
      <c r="P260" s="1" t="s">
        <v>1674</v>
      </c>
    </row>
    <row r="261" spans="1:16" hidden="1">
      <c r="A261" s="4">
        <v>344</v>
      </c>
      <c r="B261" s="2" t="str">
        <f>HYPERLINK("https://my.zakupki.prom.ua/remote/dispatcher/state_purchase_view/32653568", "UA-2021-12-06-016257-c")</f>
        <v>UA-2021-12-06-016257-c</v>
      </c>
      <c r="C261" s="2" t="s">
        <v>1276</v>
      </c>
      <c r="D261" s="2" t="str">
        <f>HYPERLINK("https://my.zakupki.prom.ua/remote/dispatcher/state_contracting_view/11720819", "UA-2021-12-06-016257-c-c1")</f>
        <v>UA-2021-12-06-016257-c-c1</v>
      </c>
      <c r="E261" s="1" t="s">
        <v>804</v>
      </c>
      <c r="F261" s="1" t="s">
        <v>1463</v>
      </c>
      <c r="G261" s="1" t="s">
        <v>1463</v>
      </c>
      <c r="H261" s="1" t="s">
        <v>465</v>
      </c>
      <c r="I261" s="1" t="s">
        <v>1175</v>
      </c>
      <c r="J261" s="1" t="s">
        <v>1202</v>
      </c>
      <c r="K261" s="1" t="s">
        <v>289</v>
      </c>
      <c r="L261" s="1" t="s">
        <v>850</v>
      </c>
      <c r="M261" s="5">
        <v>702</v>
      </c>
      <c r="N261" s="6">
        <v>44533</v>
      </c>
      <c r="O261" s="6">
        <v>44561</v>
      </c>
      <c r="P261" s="1" t="s">
        <v>1674</v>
      </c>
    </row>
    <row r="262" spans="1:16" hidden="1">
      <c r="A262" s="4">
        <v>345</v>
      </c>
      <c r="B262" s="2" t="str">
        <f>HYPERLINK("https://my.zakupki.prom.ua/remote/dispatcher/state_purchase_view/32768554", "UA-2021-12-08-010911-c")</f>
        <v>UA-2021-12-08-010911-c</v>
      </c>
      <c r="C262" s="2" t="s">
        <v>1276</v>
      </c>
      <c r="D262" s="2" t="str">
        <f>HYPERLINK("https://my.zakupki.prom.ua/remote/dispatcher/state_contracting_view/11775700", "UA-2021-12-08-010911-c-c1")</f>
        <v>UA-2021-12-08-010911-c-c1</v>
      </c>
      <c r="E262" s="1" t="s">
        <v>648</v>
      </c>
      <c r="F262" s="1" t="s">
        <v>1265</v>
      </c>
      <c r="G262" s="1" t="s">
        <v>1265</v>
      </c>
      <c r="H262" s="1" t="s">
        <v>750</v>
      </c>
      <c r="I262" s="1" t="s">
        <v>1175</v>
      </c>
      <c r="J262" s="1" t="s">
        <v>1632</v>
      </c>
      <c r="K262" s="1" t="s">
        <v>544</v>
      </c>
      <c r="L262" s="1" t="s">
        <v>764</v>
      </c>
      <c r="M262" s="5">
        <v>7466</v>
      </c>
      <c r="N262" s="6">
        <v>44536</v>
      </c>
      <c r="O262" s="6">
        <v>44561</v>
      </c>
      <c r="P262" s="1" t="s">
        <v>1674</v>
      </c>
    </row>
    <row r="263" spans="1:16" hidden="1">
      <c r="A263" s="4">
        <v>346</v>
      </c>
      <c r="B263" s="2" t="str">
        <f>HYPERLINK("https://my.zakupki.prom.ua/remote/dispatcher/state_purchase_view/31698583", "UA-2021-11-11-015356-a")</f>
        <v>UA-2021-11-11-015356-a</v>
      </c>
      <c r="C263" s="2" t="s">
        <v>1276</v>
      </c>
      <c r="D263" s="2" t="str">
        <f>HYPERLINK("https://my.zakupki.prom.ua/remote/dispatcher/state_contracting_view/11280961", "UA-2021-11-11-015356-a-a1")</f>
        <v>UA-2021-11-11-015356-a-a1</v>
      </c>
      <c r="E263" s="1" t="s">
        <v>996</v>
      </c>
      <c r="F263" s="1" t="s">
        <v>1457</v>
      </c>
      <c r="G263" s="1" t="s">
        <v>1458</v>
      </c>
      <c r="H263" s="1" t="s">
        <v>622</v>
      </c>
      <c r="I263" s="1" t="s">
        <v>1175</v>
      </c>
      <c r="J263" s="1" t="s">
        <v>1202</v>
      </c>
      <c r="K263" s="1" t="s">
        <v>289</v>
      </c>
      <c r="L263" s="1" t="s">
        <v>275</v>
      </c>
      <c r="M263" s="5">
        <v>251</v>
      </c>
      <c r="N263" s="6">
        <v>44509</v>
      </c>
      <c r="O263" s="6">
        <v>44561</v>
      </c>
      <c r="P263" s="1" t="s">
        <v>1674</v>
      </c>
    </row>
    <row r="264" spans="1:16" hidden="1">
      <c r="A264" s="4">
        <v>347</v>
      </c>
      <c r="B264" s="2" t="str">
        <f>HYPERLINK("https://my.zakupki.prom.ua/remote/dispatcher/state_purchase_view/30025891", "UA-2021-09-20-009337-b")</f>
        <v>UA-2021-09-20-009337-b</v>
      </c>
      <c r="C264" s="2" t="s">
        <v>1276</v>
      </c>
      <c r="D264" s="2" t="str">
        <f>HYPERLINK("https://my.zakupki.prom.ua/remote/dispatcher/state_contracting_view/10819787", "UA-2021-09-20-009337-b-b1")</f>
        <v>UA-2021-09-20-009337-b-b1</v>
      </c>
      <c r="E264" s="1" t="s">
        <v>819</v>
      </c>
      <c r="F264" s="1" t="s">
        <v>1599</v>
      </c>
      <c r="G264" s="1" t="s">
        <v>1598</v>
      </c>
      <c r="H264" s="1" t="s">
        <v>751</v>
      </c>
      <c r="I264" s="1" t="s">
        <v>1610</v>
      </c>
      <c r="J264" s="1" t="s">
        <v>1658</v>
      </c>
      <c r="K264" s="1" t="s">
        <v>331</v>
      </c>
      <c r="L264" s="1" t="s">
        <v>143</v>
      </c>
      <c r="M264" s="5">
        <v>81000</v>
      </c>
      <c r="N264" s="6">
        <v>44480</v>
      </c>
      <c r="O264" s="6">
        <v>44561</v>
      </c>
      <c r="P264" s="1" t="s">
        <v>1676</v>
      </c>
    </row>
    <row r="265" spans="1:16" hidden="1">
      <c r="A265" s="4">
        <v>348</v>
      </c>
      <c r="B265" s="2" t="str">
        <f>HYPERLINK("https://my.zakupki.prom.ua/remote/dispatcher/state_purchase_view/27035643", "UA-2021-05-31-010023-b")</f>
        <v>UA-2021-05-31-010023-b</v>
      </c>
      <c r="C265" s="2" t="s">
        <v>1276</v>
      </c>
      <c r="D265" s="2" t="str">
        <f>HYPERLINK("https://my.zakupki.prom.ua/remote/dispatcher/state_contracting_view/9108519", "UA-2021-05-31-010023-b-b1")</f>
        <v>UA-2021-05-31-010023-b-b1</v>
      </c>
      <c r="E265" s="1" t="s">
        <v>738</v>
      </c>
      <c r="F265" s="1" t="s">
        <v>1384</v>
      </c>
      <c r="G265" s="1" t="s">
        <v>1384</v>
      </c>
      <c r="H265" s="1" t="s">
        <v>743</v>
      </c>
      <c r="I265" s="1" t="s">
        <v>1175</v>
      </c>
      <c r="J265" s="1" t="s">
        <v>1197</v>
      </c>
      <c r="K265" s="1" t="s">
        <v>437</v>
      </c>
      <c r="L265" s="1" t="s">
        <v>454</v>
      </c>
      <c r="M265" s="5">
        <v>50767.02</v>
      </c>
      <c r="N265" s="6">
        <v>44347</v>
      </c>
      <c r="O265" s="6">
        <v>44561</v>
      </c>
      <c r="P265" s="1" t="s">
        <v>1674</v>
      </c>
    </row>
    <row r="266" spans="1:16" hidden="1">
      <c r="A266" s="4">
        <v>349</v>
      </c>
      <c r="B266" s="2" t="str">
        <f>HYPERLINK("https://my.zakupki.prom.ua/remote/dispatcher/state_purchase_view/32580977", "UA-2021-12-03-015565-c")</f>
        <v>UA-2021-12-03-015565-c</v>
      </c>
      <c r="C266" s="2" t="s">
        <v>1276</v>
      </c>
      <c r="D266" s="2" t="str">
        <f>HYPERLINK("https://my.zakupki.prom.ua/remote/dispatcher/state_contracting_view/11687072", "UA-2021-12-03-015565-c-c1")</f>
        <v>UA-2021-12-03-015565-c-c1</v>
      </c>
      <c r="E266" s="1" t="s">
        <v>826</v>
      </c>
      <c r="F266" s="1" t="s">
        <v>1584</v>
      </c>
      <c r="G266" s="1" t="s">
        <v>1584</v>
      </c>
      <c r="H266" s="1" t="s">
        <v>719</v>
      </c>
      <c r="I266" s="1" t="s">
        <v>1175</v>
      </c>
      <c r="J266" s="1" t="s">
        <v>1290</v>
      </c>
      <c r="K266" s="1" t="s">
        <v>333</v>
      </c>
      <c r="L266" s="1" t="s">
        <v>155</v>
      </c>
      <c r="M266" s="5">
        <v>191.5</v>
      </c>
      <c r="N266" s="6">
        <v>44533</v>
      </c>
      <c r="O266" s="6">
        <v>44561</v>
      </c>
      <c r="P266" s="1" t="s">
        <v>1674</v>
      </c>
    </row>
    <row r="267" spans="1:16" hidden="1">
      <c r="A267" s="4">
        <v>350</v>
      </c>
      <c r="B267" s="2" t="str">
        <f>HYPERLINK("https://my.zakupki.prom.ua/remote/dispatcher/state_purchase_view/28246673", "UA-2021-07-15-000192-b")</f>
        <v>UA-2021-07-15-000192-b</v>
      </c>
      <c r="C267" s="2" t="s">
        <v>1276</v>
      </c>
      <c r="D267" s="2" t="str">
        <f>HYPERLINK("https://my.zakupki.prom.ua/remote/dispatcher/state_contracting_view/9682687", "UA-2021-07-15-000192-b-b1")</f>
        <v>UA-2021-07-15-000192-b-b1</v>
      </c>
      <c r="E267" s="1" t="s">
        <v>210</v>
      </c>
      <c r="F267" s="1" t="s">
        <v>1384</v>
      </c>
      <c r="G267" s="1" t="s">
        <v>1384</v>
      </c>
      <c r="H267" s="1" t="s">
        <v>743</v>
      </c>
      <c r="I267" s="1" t="s">
        <v>1175</v>
      </c>
      <c r="J267" s="1" t="s">
        <v>1197</v>
      </c>
      <c r="K267" s="1" t="s">
        <v>437</v>
      </c>
      <c r="L267" s="1" t="s">
        <v>1159</v>
      </c>
      <c r="M267" s="5">
        <v>16922.34</v>
      </c>
      <c r="N267" s="6">
        <v>44391</v>
      </c>
      <c r="O267" s="6">
        <v>44561</v>
      </c>
      <c r="P267" s="1" t="s">
        <v>1674</v>
      </c>
    </row>
    <row r="268" spans="1:16" hidden="1">
      <c r="A268" s="4">
        <v>351</v>
      </c>
      <c r="B268" s="2" t="str">
        <f>HYPERLINK("https://my.zakupki.prom.ua/remote/dispatcher/state_purchase_view/33260206", "UA-2021-12-16-021573-c")</f>
        <v>UA-2021-12-16-021573-c</v>
      </c>
      <c r="C268" s="2" t="s">
        <v>1276</v>
      </c>
      <c r="D268" s="2" t="str">
        <f>HYPERLINK("https://my.zakupki.prom.ua/remote/dispatcher/state_contracting_view/12009179", "UA-2021-12-16-021573-c-c1")</f>
        <v>UA-2021-12-16-021573-c-c1</v>
      </c>
      <c r="E268" s="1" t="s">
        <v>265</v>
      </c>
      <c r="F268" s="1" t="s">
        <v>1540</v>
      </c>
      <c r="G268" s="1" t="s">
        <v>1540</v>
      </c>
      <c r="H268" s="1" t="s">
        <v>709</v>
      </c>
      <c r="I268" s="1" t="s">
        <v>1175</v>
      </c>
      <c r="J268" s="1" t="s">
        <v>1171</v>
      </c>
      <c r="K268" s="1" t="s">
        <v>312</v>
      </c>
      <c r="L268" s="1" t="s">
        <v>509</v>
      </c>
      <c r="M268" s="5">
        <v>299.68</v>
      </c>
      <c r="N268" s="6">
        <v>44545</v>
      </c>
      <c r="O268" s="6">
        <v>44561</v>
      </c>
      <c r="P268" s="1" t="s">
        <v>1674</v>
      </c>
    </row>
    <row r="269" spans="1:16" hidden="1">
      <c r="A269" s="4">
        <v>352</v>
      </c>
      <c r="B269" s="2" t="str">
        <f>HYPERLINK("https://my.zakupki.prom.ua/remote/dispatcher/state_purchase_view/26394233", "UA-2021-05-07-008456-b")</f>
        <v>UA-2021-05-07-008456-b</v>
      </c>
      <c r="C269" s="2" t="s">
        <v>1276</v>
      </c>
      <c r="D269" s="2" t="str">
        <f>HYPERLINK("https://my.zakupki.prom.ua/remote/dispatcher/state_contracting_view/8803824", "UA-2021-05-07-008456-b-b1")</f>
        <v>UA-2021-05-07-008456-b-b1</v>
      </c>
      <c r="E269" s="1" t="s">
        <v>628</v>
      </c>
      <c r="F269" s="1" t="s">
        <v>1547</v>
      </c>
      <c r="G269" s="1" t="s">
        <v>1547</v>
      </c>
      <c r="H269" s="1" t="s">
        <v>759</v>
      </c>
      <c r="I269" s="1" t="s">
        <v>1175</v>
      </c>
      <c r="J269" s="1" t="s">
        <v>1643</v>
      </c>
      <c r="K269" s="1" t="s">
        <v>530</v>
      </c>
      <c r="L269" s="1" t="s">
        <v>360</v>
      </c>
      <c r="M269" s="5">
        <v>86</v>
      </c>
      <c r="N269" s="6">
        <v>44323</v>
      </c>
      <c r="O269" s="6">
        <v>44561</v>
      </c>
      <c r="P269" s="1" t="s">
        <v>1674</v>
      </c>
    </row>
    <row r="270" spans="1:16" hidden="1">
      <c r="A270" s="4">
        <v>353</v>
      </c>
      <c r="B270" s="2" t="str">
        <f>HYPERLINK("https://my.zakupki.prom.ua/remote/dispatcher/state_purchase_view/26520133", "UA-2021-05-13-004865-c")</f>
        <v>UA-2021-05-13-004865-c</v>
      </c>
      <c r="C270" s="2" t="s">
        <v>1276</v>
      </c>
      <c r="D270" s="2" t="str">
        <f>HYPERLINK("https://my.zakupki.prom.ua/remote/dispatcher/state_contracting_view/8864317", "UA-2021-05-13-004865-c-c1")</f>
        <v>UA-2021-05-13-004865-c-c1</v>
      </c>
      <c r="E270" s="1" t="s">
        <v>50</v>
      </c>
      <c r="F270" s="1" t="s">
        <v>1516</v>
      </c>
      <c r="G270" s="1" t="s">
        <v>1516</v>
      </c>
      <c r="H270" s="1" t="s">
        <v>564</v>
      </c>
      <c r="I270" s="1" t="s">
        <v>1175</v>
      </c>
      <c r="J270" s="1" t="s">
        <v>1212</v>
      </c>
      <c r="K270" s="1" t="s">
        <v>448</v>
      </c>
      <c r="L270" s="1" t="s">
        <v>345</v>
      </c>
      <c r="M270" s="5">
        <v>1498</v>
      </c>
      <c r="N270" s="6">
        <v>44329</v>
      </c>
      <c r="O270" s="6">
        <v>44561</v>
      </c>
      <c r="P270" s="1" t="s">
        <v>1674</v>
      </c>
    </row>
    <row r="271" spans="1:16" hidden="1">
      <c r="A271" s="4">
        <v>354</v>
      </c>
      <c r="B271" s="2" t="str">
        <f>HYPERLINK("https://my.zakupki.prom.ua/remote/dispatcher/state_purchase_view/30190075", "UA-2021-09-24-000402-b")</f>
        <v>UA-2021-09-24-000402-b</v>
      </c>
      <c r="C271" s="2" t="s">
        <v>1276</v>
      </c>
      <c r="D271" s="2" t="str">
        <f>HYPERLINK("https://my.zakupki.prom.ua/remote/dispatcher/state_contracting_view/10588057", "UA-2021-09-24-000402-b-b1")</f>
        <v>UA-2021-09-24-000402-b-b1</v>
      </c>
      <c r="E271" s="1" t="s">
        <v>921</v>
      </c>
      <c r="F271" s="1" t="s">
        <v>1518</v>
      </c>
      <c r="G271" s="1" t="s">
        <v>1518</v>
      </c>
      <c r="H271" s="1" t="s">
        <v>467</v>
      </c>
      <c r="I271" s="1" t="s">
        <v>1175</v>
      </c>
      <c r="J271" s="1" t="s">
        <v>1212</v>
      </c>
      <c r="K271" s="1" t="s">
        <v>448</v>
      </c>
      <c r="L271" s="1" t="s">
        <v>315</v>
      </c>
      <c r="M271" s="5">
        <v>905</v>
      </c>
      <c r="N271" s="6">
        <v>44461</v>
      </c>
      <c r="O271" s="6">
        <v>44561</v>
      </c>
      <c r="P271" s="1" t="s">
        <v>1674</v>
      </c>
    </row>
    <row r="272" spans="1:16" hidden="1">
      <c r="A272" s="4">
        <v>355</v>
      </c>
      <c r="B272" s="2" t="str">
        <f>HYPERLINK("https://my.zakupki.prom.ua/remote/dispatcher/state_purchase_view/29961962", "UA-2021-09-17-003882-b")</f>
        <v>UA-2021-09-17-003882-b</v>
      </c>
      <c r="C272" s="2" t="s">
        <v>1276</v>
      </c>
      <c r="D272" s="2" t="str">
        <f>HYPERLINK("https://my.zakupki.prom.ua/remote/dispatcher/state_contracting_view/10482637", "UA-2021-09-17-003882-b-b1")</f>
        <v>UA-2021-09-17-003882-b-b1</v>
      </c>
      <c r="E272" s="1" t="s">
        <v>1048</v>
      </c>
      <c r="F272" s="1" t="s">
        <v>1594</v>
      </c>
      <c r="G272" s="1" t="s">
        <v>1595</v>
      </c>
      <c r="H272" s="1" t="s">
        <v>751</v>
      </c>
      <c r="I272" s="1" t="s">
        <v>1175</v>
      </c>
      <c r="J272" s="1" t="s">
        <v>1291</v>
      </c>
      <c r="K272" s="1" t="s">
        <v>445</v>
      </c>
      <c r="L272" s="1" t="s">
        <v>204</v>
      </c>
      <c r="M272" s="5">
        <v>10800</v>
      </c>
      <c r="N272" s="6">
        <v>44455</v>
      </c>
      <c r="O272" s="6">
        <v>44561</v>
      </c>
      <c r="P272" s="1" t="s">
        <v>1674</v>
      </c>
    </row>
    <row r="273" spans="1:16" hidden="1">
      <c r="A273" s="4">
        <v>356</v>
      </c>
      <c r="B273" s="2" t="str">
        <f>HYPERLINK("https://my.zakupki.prom.ua/remote/dispatcher/state_purchase_view/28716212", "UA-2021-08-03-011458-b")</f>
        <v>UA-2021-08-03-011458-b</v>
      </c>
      <c r="C273" s="2" t="s">
        <v>1276</v>
      </c>
      <c r="D273" s="2" t="str">
        <f>HYPERLINK("https://my.zakupki.prom.ua/remote/dispatcher/state_contracting_view/10474732", "UA-2021-08-03-011458-b-a1")</f>
        <v>UA-2021-08-03-011458-b-a1</v>
      </c>
      <c r="E273" s="1" t="s">
        <v>650</v>
      </c>
      <c r="F273" s="1" t="s">
        <v>1277</v>
      </c>
      <c r="G273" s="1" t="s">
        <v>1278</v>
      </c>
      <c r="H273" s="1" t="s">
        <v>631</v>
      </c>
      <c r="I273" s="1" t="s">
        <v>1135</v>
      </c>
      <c r="J273" s="1" t="s">
        <v>1654</v>
      </c>
      <c r="K273" s="1" t="s">
        <v>584</v>
      </c>
      <c r="L273" s="1" t="s">
        <v>653</v>
      </c>
      <c r="M273" s="5">
        <v>3545870.68</v>
      </c>
      <c r="N273" s="6">
        <v>44455</v>
      </c>
      <c r="O273" s="6">
        <v>44561</v>
      </c>
      <c r="P273" s="1" t="s">
        <v>1676</v>
      </c>
    </row>
    <row r="274" spans="1:16" hidden="1">
      <c r="A274" s="4">
        <v>357</v>
      </c>
      <c r="B274" s="2" t="str">
        <f>HYPERLINK("https://my.zakupki.prom.ua/remote/dispatcher/state_purchase_view/31212946", "UA-2021-10-28-005935-a")</f>
        <v>UA-2021-10-28-005935-a</v>
      </c>
      <c r="C274" s="2" t="s">
        <v>1276</v>
      </c>
      <c r="D274" s="2" t="str">
        <f>HYPERLINK("https://my.zakupki.prom.ua/remote/dispatcher/state_contracting_view/11058981", "UA-2021-10-28-005935-a-a1")</f>
        <v>UA-2021-10-28-005935-a-a1</v>
      </c>
      <c r="E274" s="1" t="s">
        <v>855</v>
      </c>
      <c r="F274" s="1" t="s">
        <v>1431</v>
      </c>
      <c r="G274" s="1" t="s">
        <v>1431</v>
      </c>
      <c r="H274" s="1" t="s">
        <v>556</v>
      </c>
      <c r="I274" s="1" t="s">
        <v>1175</v>
      </c>
      <c r="J274" s="1" t="s">
        <v>1635</v>
      </c>
      <c r="K274" s="1" t="s">
        <v>587</v>
      </c>
      <c r="L274" s="1" t="s">
        <v>386</v>
      </c>
      <c r="M274" s="5">
        <v>228</v>
      </c>
      <c r="N274" s="6">
        <v>44495</v>
      </c>
      <c r="O274" s="6">
        <v>44561</v>
      </c>
      <c r="P274" s="1" t="s">
        <v>1674</v>
      </c>
    </row>
    <row r="275" spans="1:16" hidden="1">
      <c r="A275" s="4">
        <v>358</v>
      </c>
      <c r="B275" s="2" t="str">
        <f>HYPERLINK("https://my.zakupki.prom.ua/remote/dispatcher/state_purchase_view/31703587", "UA-2021-11-11-017069-a")</f>
        <v>UA-2021-11-11-017069-a</v>
      </c>
      <c r="C275" s="2" t="s">
        <v>1276</v>
      </c>
      <c r="D275" s="2" t="str">
        <f>HYPERLINK("https://my.zakupki.prom.ua/remote/dispatcher/state_contracting_view/11282692", "UA-2021-11-11-017069-a-a1")</f>
        <v>UA-2021-11-11-017069-a-a1</v>
      </c>
      <c r="E275" s="1" t="s">
        <v>886</v>
      </c>
      <c r="F275" s="1" t="s">
        <v>1397</v>
      </c>
      <c r="G275" s="1" t="s">
        <v>1397</v>
      </c>
      <c r="H275" s="1" t="s">
        <v>615</v>
      </c>
      <c r="I275" s="1" t="s">
        <v>1175</v>
      </c>
      <c r="J275" s="1" t="s">
        <v>1605</v>
      </c>
      <c r="K275" s="1" t="s">
        <v>380</v>
      </c>
      <c r="L275" s="1" t="s">
        <v>132</v>
      </c>
      <c r="M275" s="5">
        <v>10120</v>
      </c>
      <c r="N275" s="6">
        <v>44510</v>
      </c>
      <c r="O275" s="6">
        <v>44561</v>
      </c>
      <c r="P275" s="1" t="s">
        <v>1674</v>
      </c>
    </row>
    <row r="276" spans="1:16" hidden="1">
      <c r="A276" s="4">
        <v>359</v>
      </c>
      <c r="B276" s="2" t="str">
        <f>HYPERLINK("https://my.zakupki.prom.ua/remote/dispatcher/state_purchase_view/31702296", "UA-2021-11-11-016628-a")</f>
        <v>UA-2021-11-11-016628-a</v>
      </c>
      <c r="C276" s="2" t="s">
        <v>1276</v>
      </c>
      <c r="D276" s="2" t="str">
        <f>HYPERLINK("https://my.zakupki.prom.ua/remote/dispatcher/state_contracting_view/11282155", "UA-2021-11-11-016628-a-a1")</f>
        <v>UA-2021-11-11-016628-a-a1</v>
      </c>
      <c r="E276" s="1" t="s">
        <v>723</v>
      </c>
      <c r="F276" s="1" t="s">
        <v>1441</v>
      </c>
      <c r="G276" s="1" t="s">
        <v>1442</v>
      </c>
      <c r="H276" s="1" t="s">
        <v>625</v>
      </c>
      <c r="I276" s="1" t="s">
        <v>1175</v>
      </c>
      <c r="J276" s="1" t="s">
        <v>1202</v>
      </c>
      <c r="K276" s="1" t="s">
        <v>289</v>
      </c>
      <c r="L276" s="1" t="s">
        <v>436</v>
      </c>
      <c r="M276" s="5">
        <v>325</v>
      </c>
      <c r="N276" s="6">
        <v>44509</v>
      </c>
      <c r="O276" s="6">
        <v>44561</v>
      </c>
      <c r="P276" s="1" t="s">
        <v>1674</v>
      </c>
    </row>
    <row r="277" spans="1:16" hidden="1">
      <c r="A277" s="4">
        <v>360</v>
      </c>
      <c r="B277" s="2" t="str">
        <f>HYPERLINK("https://my.zakupki.prom.ua/remote/dispatcher/state_purchase_view/26513742", "UA-2021-05-13-002948-c")</f>
        <v>UA-2021-05-13-002948-c</v>
      </c>
      <c r="C277" s="2" t="s">
        <v>1276</v>
      </c>
      <c r="D277" s="2" t="str">
        <f>HYPERLINK("https://my.zakupki.prom.ua/remote/dispatcher/state_contracting_view/8862044", "UA-2021-05-13-002948-c-c1")</f>
        <v>UA-2021-05-13-002948-c-c1</v>
      </c>
      <c r="E277" s="1" t="s">
        <v>577</v>
      </c>
      <c r="F277" s="1" t="s">
        <v>1</v>
      </c>
      <c r="G277" s="1" t="s">
        <v>1</v>
      </c>
      <c r="H277" s="1" t="s">
        <v>708</v>
      </c>
      <c r="I277" s="1" t="s">
        <v>1175</v>
      </c>
      <c r="J277" s="1" t="s">
        <v>1297</v>
      </c>
      <c r="K277" s="1" t="s">
        <v>308</v>
      </c>
      <c r="L277" s="1" t="s">
        <v>727</v>
      </c>
      <c r="M277" s="5">
        <v>3500</v>
      </c>
      <c r="N277" s="6">
        <v>44329</v>
      </c>
      <c r="O277" s="6">
        <v>44561</v>
      </c>
      <c r="P277" s="1" t="s">
        <v>1674</v>
      </c>
    </row>
    <row r="278" spans="1:16" hidden="1">
      <c r="A278" s="4">
        <v>361</v>
      </c>
      <c r="B278" s="2" t="str">
        <f>HYPERLINK("https://my.zakupki.prom.ua/remote/dispatcher/state_purchase_view/26614669", "UA-2021-05-18-000855-b")</f>
        <v>UA-2021-05-18-000855-b</v>
      </c>
      <c r="C278" s="2" t="s">
        <v>1276</v>
      </c>
      <c r="D278" s="2" t="str">
        <f>HYPERLINK("https://my.zakupki.prom.ua/remote/dispatcher/state_contracting_view/8908438", "UA-2021-05-18-000855-b-b1")</f>
        <v>UA-2021-05-18-000855-b-b1</v>
      </c>
      <c r="E278" s="1" t="s">
        <v>1042</v>
      </c>
      <c r="F278" s="1" t="s">
        <v>1283</v>
      </c>
      <c r="G278" s="1" t="s">
        <v>1283</v>
      </c>
      <c r="H278" s="1" t="s">
        <v>742</v>
      </c>
      <c r="I278" s="1" t="s">
        <v>1175</v>
      </c>
      <c r="J278" s="1" t="s">
        <v>1197</v>
      </c>
      <c r="K278" s="1" t="s">
        <v>437</v>
      </c>
      <c r="L278" s="1" t="s">
        <v>366</v>
      </c>
      <c r="M278" s="5">
        <v>1.2</v>
      </c>
      <c r="N278" s="6">
        <v>44333</v>
      </c>
      <c r="O278" s="6">
        <v>44561</v>
      </c>
      <c r="P278" s="1" t="s">
        <v>1674</v>
      </c>
    </row>
    <row r="279" spans="1:16" hidden="1">
      <c r="A279" s="4">
        <v>362</v>
      </c>
      <c r="B279" s="2" t="str">
        <f>HYPERLINK("https://my.zakupki.prom.ua/remote/dispatcher/state_purchase_view/27243215", "UA-2021-06-07-009094-b")</f>
        <v>UA-2021-06-07-009094-b</v>
      </c>
      <c r="C279" s="2" t="s">
        <v>1276</v>
      </c>
      <c r="D279" s="2" t="str">
        <f>HYPERLINK("https://my.zakupki.prom.ua/remote/dispatcher/state_contracting_view/9206417", "UA-2021-06-07-009094-b-b1")</f>
        <v>UA-2021-06-07-009094-b-b1</v>
      </c>
      <c r="E279" s="1" t="s">
        <v>825</v>
      </c>
      <c r="F279" s="1" t="s">
        <v>1550</v>
      </c>
      <c r="G279" s="1" t="s">
        <v>1550</v>
      </c>
      <c r="H279" s="1" t="s">
        <v>796</v>
      </c>
      <c r="I279" s="1" t="s">
        <v>1175</v>
      </c>
      <c r="J279" s="1" t="s">
        <v>1194</v>
      </c>
      <c r="K279" s="1" t="s">
        <v>473</v>
      </c>
      <c r="L279" s="1" t="s">
        <v>274</v>
      </c>
      <c r="M279" s="5">
        <v>2459.6</v>
      </c>
      <c r="N279" s="6">
        <v>44354</v>
      </c>
      <c r="O279" s="6">
        <v>44561</v>
      </c>
      <c r="P279" s="1" t="s">
        <v>1674</v>
      </c>
    </row>
    <row r="280" spans="1:16" hidden="1">
      <c r="A280" s="4">
        <v>363</v>
      </c>
      <c r="B280" s="2" t="str">
        <f>HYPERLINK("https://my.zakupki.prom.ua/remote/dispatcher/state_purchase_view/30510298", "UA-2021-10-05-015130-b")</f>
        <v>UA-2021-10-05-015130-b</v>
      </c>
      <c r="C280" s="2" t="s">
        <v>1276</v>
      </c>
      <c r="D280" s="2" t="str">
        <f>HYPERLINK("https://my.zakupki.prom.ua/remote/dispatcher/state_contracting_view/10735457", "UA-2021-10-05-015130-b-b1")</f>
        <v>UA-2021-10-05-015130-b-b1</v>
      </c>
      <c r="E280" s="1" t="s">
        <v>197</v>
      </c>
      <c r="F280" s="1" t="s">
        <v>1538</v>
      </c>
      <c r="G280" s="1" t="s">
        <v>1538</v>
      </c>
      <c r="H280" s="1" t="s">
        <v>830</v>
      </c>
      <c r="I280" s="1" t="s">
        <v>1175</v>
      </c>
      <c r="J280" s="1" t="s">
        <v>1144</v>
      </c>
      <c r="K280" s="1" t="s">
        <v>357</v>
      </c>
      <c r="L280" s="1" t="s">
        <v>189</v>
      </c>
      <c r="M280" s="5">
        <v>800</v>
      </c>
      <c r="N280" s="6">
        <v>44474</v>
      </c>
      <c r="O280" s="6">
        <v>44561</v>
      </c>
      <c r="P280" s="1" t="s">
        <v>1674</v>
      </c>
    </row>
    <row r="281" spans="1:16" hidden="1">
      <c r="A281" s="4">
        <v>364</v>
      </c>
      <c r="B281" s="2" t="str">
        <f>HYPERLINK("https://my.zakupki.prom.ua/remote/dispatcher/state_purchase_view/23058603", "UA-2021-01-19-004275-a")</f>
        <v>UA-2021-01-19-004275-a</v>
      </c>
      <c r="C281" s="2" t="s">
        <v>1276</v>
      </c>
      <c r="D281" s="2" t="str">
        <f>HYPERLINK("https://my.zakupki.prom.ua/remote/dispatcher/state_contracting_view/7257110", "UA-2021-01-19-004275-a-a1")</f>
        <v>UA-2021-01-19-004275-a-a1</v>
      </c>
      <c r="E281" s="1" t="s">
        <v>690</v>
      </c>
      <c r="F281" s="1" t="s">
        <v>1348</v>
      </c>
      <c r="G281" s="1" t="s">
        <v>1348</v>
      </c>
      <c r="H281" s="1" t="s">
        <v>777</v>
      </c>
      <c r="I281" s="1" t="s">
        <v>1175</v>
      </c>
      <c r="J281" s="1" t="s">
        <v>1651</v>
      </c>
      <c r="K281" s="1" t="s">
        <v>581</v>
      </c>
      <c r="L281" s="1" t="s">
        <v>200</v>
      </c>
      <c r="M281" s="5">
        <v>10711.88</v>
      </c>
      <c r="N281" s="6">
        <v>44215</v>
      </c>
      <c r="O281" s="6">
        <v>44561</v>
      </c>
      <c r="P281" s="1" t="s">
        <v>1674</v>
      </c>
    </row>
    <row r="282" spans="1:16" hidden="1">
      <c r="A282" s="4">
        <v>365</v>
      </c>
      <c r="B282" s="2" t="str">
        <f>HYPERLINK("https://my.zakupki.prom.ua/remote/dispatcher/state_purchase_view/26074433", "UA-2021-04-22-009671-a")</f>
        <v>UA-2021-04-22-009671-a</v>
      </c>
      <c r="C282" s="2" t="s">
        <v>1276</v>
      </c>
      <c r="D282" s="2" t="str">
        <f>HYPERLINK("https://my.zakupki.prom.ua/remote/dispatcher/state_contracting_view/8649116", "UA-2021-04-22-009671-a-a1")</f>
        <v>UA-2021-04-22-009671-a-a1</v>
      </c>
      <c r="E282" s="1" t="s">
        <v>997</v>
      </c>
      <c r="F282" s="1" t="s">
        <v>1502</v>
      </c>
      <c r="G282" s="1" t="s">
        <v>1503</v>
      </c>
      <c r="H282" s="1" t="s">
        <v>487</v>
      </c>
      <c r="I282" s="1" t="s">
        <v>1175</v>
      </c>
      <c r="J282" s="1" t="s">
        <v>1172</v>
      </c>
      <c r="K282" s="1" t="s">
        <v>406</v>
      </c>
      <c r="L282" s="1" t="s">
        <v>318</v>
      </c>
      <c r="M282" s="5">
        <v>360</v>
      </c>
      <c r="N282" s="6">
        <v>44308</v>
      </c>
      <c r="O282" s="6">
        <v>44561</v>
      </c>
      <c r="P282" s="1" t="s">
        <v>1674</v>
      </c>
    </row>
    <row r="283" spans="1:16" hidden="1">
      <c r="A283" s="4">
        <v>366</v>
      </c>
      <c r="B283" s="2" t="str">
        <f>HYPERLINK("https://my.zakupki.prom.ua/remote/dispatcher/state_purchase_view/25057038", "UA-2021-03-19-000108-b")</f>
        <v>UA-2021-03-19-000108-b</v>
      </c>
      <c r="C283" s="2" t="s">
        <v>1276</v>
      </c>
      <c r="D283" s="2" t="str">
        <f>HYPERLINK("https://my.zakupki.prom.ua/remote/dispatcher/state_contracting_view/8164299", "UA-2021-03-19-000108-b-b1")</f>
        <v>UA-2021-03-19-000108-b-b1</v>
      </c>
      <c r="E283" s="1" t="s">
        <v>1068</v>
      </c>
      <c r="F283" s="1" t="s">
        <v>1455</v>
      </c>
      <c r="G283" s="1" t="s">
        <v>1455</v>
      </c>
      <c r="H283" s="1" t="s">
        <v>612</v>
      </c>
      <c r="I283" s="1" t="s">
        <v>1175</v>
      </c>
      <c r="J283" s="1" t="s">
        <v>1202</v>
      </c>
      <c r="K283" s="1" t="s">
        <v>289</v>
      </c>
      <c r="L283" s="1" t="s">
        <v>224</v>
      </c>
      <c r="M283" s="5">
        <v>229.5</v>
      </c>
      <c r="N283" s="6">
        <v>44273</v>
      </c>
      <c r="O283" s="6">
        <v>44561</v>
      </c>
      <c r="P283" s="1" t="s">
        <v>1674</v>
      </c>
    </row>
    <row r="284" spans="1:16" hidden="1">
      <c r="A284" s="4">
        <v>367</v>
      </c>
      <c r="B284" s="2" t="str">
        <f>HYPERLINK("https://my.zakupki.prom.ua/remote/dispatcher/state_purchase_view/25148858", "UA-2021-03-23-000164-a")</f>
        <v>UA-2021-03-23-000164-a</v>
      </c>
      <c r="C284" s="2" t="s">
        <v>1276</v>
      </c>
      <c r="D284" s="2" t="str">
        <f>HYPERLINK("https://my.zakupki.prom.ua/remote/dispatcher/state_contracting_view/8207863", "UA-2021-03-23-000164-a-a1")</f>
        <v>UA-2021-03-23-000164-a-a1</v>
      </c>
      <c r="E284" s="1" t="s">
        <v>1021</v>
      </c>
      <c r="F284" s="1" t="s">
        <v>1529</v>
      </c>
      <c r="G284" s="1" t="s">
        <v>1529</v>
      </c>
      <c r="H284" s="1" t="s">
        <v>710</v>
      </c>
      <c r="I284" s="1" t="s">
        <v>1175</v>
      </c>
      <c r="J284" s="1" t="s">
        <v>1214</v>
      </c>
      <c r="K284" s="1" t="s">
        <v>330</v>
      </c>
      <c r="L284" s="1" t="s">
        <v>317</v>
      </c>
      <c r="M284" s="5">
        <v>673.68</v>
      </c>
      <c r="N284" s="6">
        <v>44277</v>
      </c>
      <c r="O284" s="6">
        <v>44561</v>
      </c>
      <c r="P284" s="1" t="s">
        <v>1674</v>
      </c>
    </row>
    <row r="285" spans="1:16" hidden="1">
      <c r="A285" s="4">
        <v>368</v>
      </c>
      <c r="B285" s="2" t="str">
        <f>HYPERLINK("https://my.zakupki.prom.ua/remote/dispatcher/state_purchase_view/25670215", "UA-2021-04-09-000126-a")</f>
        <v>UA-2021-04-09-000126-a</v>
      </c>
      <c r="C285" s="2" t="s">
        <v>1276</v>
      </c>
      <c r="D285" s="2" t="str">
        <f>HYPERLINK("https://my.zakupki.prom.ua/remote/dispatcher/state_contracting_view/8456074", "UA-2021-04-09-000126-a-a1")</f>
        <v>UA-2021-04-09-000126-a-a1</v>
      </c>
      <c r="E285" s="1" t="s">
        <v>769</v>
      </c>
      <c r="F285" s="1" t="s">
        <v>1409</v>
      </c>
      <c r="G285" s="1" t="s">
        <v>1409</v>
      </c>
      <c r="H285" s="1" t="s">
        <v>607</v>
      </c>
      <c r="I285" s="1" t="s">
        <v>1175</v>
      </c>
      <c r="J285" s="1" t="s">
        <v>1090</v>
      </c>
      <c r="K285" s="1" t="s">
        <v>323</v>
      </c>
      <c r="L285" s="1" t="s">
        <v>70</v>
      </c>
      <c r="M285" s="5">
        <v>27975.759999999998</v>
      </c>
      <c r="N285" s="6">
        <v>44294</v>
      </c>
      <c r="O285" s="6">
        <v>44561</v>
      </c>
      <c r="P285" s="1" t="s">
        <v>1674</v>
      </c>
    </row>
    <row r="286" spans="1:16" hidden="1">
      <c r="A286" s="4">
        <v>369</v>
      </c>
      <c r="B286" s="2" t="str">
        <f>HYPERLINK("https://my.zakupki.prom.ua/remote/dispatcher/state_purchase_view/25671256", "UA-2021-04-09-000488-a")</f>
        <v>UA-2021-04-09-000488-a</v>
      </c>
      <c r="C286" s="2" t="s">
        <v>1276</v>
      </c>
      <c r="D286" s="2" t="str">
        <f>HYPERLINK("https://my.zakupki.prom.ua/remote/dispatcher/state_contracting_view/8456502", "UA-2021-04-09-000488-a-a1")</f>
        <v>UA-2021-04-09-000488-a-a1</v>
      </c>
      <c r="E286" s="1" t="s">
        <v>635</v>
      </c>
      <c r="F286" s="1" t="s">
        <v>1418</v>
      </c>
      <c r="G286" s="1" t="s">
        <v>1418</v>
      </c>
      <c r="H286" s="1" t="s">
        <v>621</v>
      </c>
      <c r="I286" s="1" t="s">
        <v>1175</v>
      </c>
      <c r="J286" s="1" t="s">
        <v>1089</v>
      </c>
      <c r="K286" s="1" t="s">
        <v>341</v>
      </c>
      <c r="L286" s="1" t="s">
        <v>62</v>
      </c>
      <c r="M286" s="5">
        <v>2</v>
      </c>
      <c r="N286" s="6">
        <v>44293</v>
      </c>
      <c r="O286" s="6">
        <v>44561</v>
      </c>
      <c r="P286" s="1" t="s">
        <v>1674</v>
      </c>
    </row>
    <row r="287" spans="1:16" hidden="1">
      <c r="A287" s="4">
        <v>370</v>
      </c>
      <c r="B287" s="2" t="str">
        <f>HYPERLINK("https://my.zakupki.prom.ua/remote/dispatcher/state_purchase_view/24822467", "UA-2021-03-12-001553-b")</f>
        <v>UA-2021-03-12-001553-b</v>
      </c>
      <c r="C287" s="2" t="s">
        <v>1276</v>
      </c>
      <c r="D287" s="2" t="str">
        <f>HYPERLINK("https://my.zakupki.prom.ua/remote/dispatcher/state_contracting_view/8051936", "UA-2021-03-12-001553-b-b1")</f>
        <v>UA-2021-03-12-001553-b-b1</v>
      </c>
      <c r="E287" s="1" t="s">
        <v>811</v>
      </c>
      <c r="F287" s="1" t="s">
        <v>1397</v>
      </c>
      <c r="G287" s="1" t="s">
        <v>1397</v>
      </c>
      <c r="H287" s="1" t="s">
        <v>615</v>
      </c>
      <c r="I287" s="1" t="s">
        <v>1175</v>
      </c>
      <c r="J287" s="1" t="s">
        <v>1605</v>
      </c>
      <c r="K287" s="1" t="s">
        <v>380</v>
      </c>
      <c r="L287" s="1" t="s">
        <v>145</v>
      </c>
      <c r="M287" s="5">
        <v>9000</v>
      </c>
      <c r="N287" s="6">
        <v>44265</v>
      </c>
      <c r="O287" s="6">
        <v>44561</v>
      </c>
      <c r="P287" s="1" t="s">
        <v>1674</v>
      </c>
    </row>
    <row r="288" spans="1:16" hidden="1">
      <c r="A288" s="4">
        <v>371</v>
      </c>
      <c r="B288" s="2" t="str">
        <f>HYPERLINK("https://my.zakupki.prom.ua/remote/dispatcher/state_purchase_view/24912883", "UA-2021-03-16-000090-b")</f>
        <v>UA-2021-03-16-000090-b</v>
      </c>
      <c r="C288" s="2" t="s">
        <v>1276</v>
      </c>
      <c r="D288" s="2" t="str">
        <f>HYPERLINK("https://my.zakupki.prom.ua/remote/dispatcher/state_contracting_view/8095271", "UA-2021-03-16-000090-b-b1")</f>
        <v>UA-2021-03-16-000090-b-b1</v>
      </c>
      <c r="E288" s="1" t="s">
        <v>114</v>
      </c>
      <c r="F288" s="1" t="s">
        <v>1486</v>
      </c>
      <c r="G288" s="1" t="s">
        <v>1487</v>
      </c>
      <c r="H288" s="1" t="s">
        <v>458</v>
      </c>
      <c r="I288" s="1" t="s">
        <v>1175</v>
      </c>
      <c r="J288" s="1" t="s">
        <v>1286</v>
      </c>
      <c r="K288" s="1" t="s">
        <v>482</v>
      </c>
      <c r="L288" s="1" t="s">
        <v>196</v>
      </c>
      <c r="M288" s="5">
        <v>1700</v>
      </c>
      <c r="N288" s="6">
        <v>44270</v>
      </c>
      <c r="O288" s="6">
        <v>44561</v>
      </c>
      <c r="P288" s="1" t="s">
        <v>1674</v>
      </c>
    </row>
    <row r="289" spans="1:16" hidden="1">
      <c r="A289" s="4">
        <v>372</v>
      </c>
      <c r="B289" s="2" t="str">
        <f>HYPERLINK("https://my.zakupki.prom.ua/remote/dispatcher/state_purchase_view/23835806", "UA-2021-02-09-012907-a")</f>
        <v>UA-2021-02-09-012907-a</v>
      </c>
      <c r="C289" s="2" t="s">
        <v>1276</v>
      </c>
      <c r="D289" s="2" t="str">
        <f>HYPERLINK("https://my.zakupki.prom.ua/remote/dispatcher/state_contracting_view/7587334", "UA-2021-02-09-012907-a-a1")</f>
        <v>UA-2021-02-09-012907-a-a1</v>
      </c>
      <c r="E289" s="1" t="s">
        <v>950</v>
      </c>
      <c r="F289" s="1" t="s">
        <v>1166</v>
      </c>
      <c r="G289" s="1" t="s">
        <v>1166</v>
      </c>
      <c r="H289" s="1" t="s">
        <v>743</v>
      </c>
      <c r="I289" s="1" t="s">
        <v>1175</v>
      </c>
      <c r="J289" s="1" t="s">
        <v>1196</v>
      </c>
      <c r="K289" s="1" t="s">
        <v>468</v>
      </c>
      <c r="L289" s="1" t="s">
        <v>846</v>
      </c>
      <c r="M289" s="5">
        <v>5880</v>
      </c>
      <c r="N289" s="6">
        <v>44231</v>
      </c>
      <c r="O289" s="6">
        <v>44561</v>
      </c>
      <c r="P289" s="1" t="s">
        <v>1674</v>
      </c>
    </row>
    <row r="290" spans="1:16" hidden="1">
      <c r="A290" s="4">
        <v>373</v>
      </c>
      <c r="B290" s="2" t="str">
        <f>HYPERLINK("https://my.zakupki.prom.ua/remote/dispatcher/state_purchase_view/23859277", "UA-2021-02-10-005400-a")</f>
        <v>UA-2021-02-10-005400-a</v>
      </c>
      <c r="C290" s="2" t="s">
        <v>1276</v>
      </c>
      <c r="D290" s="2" t="str">
        <f>HYPERLINK("https://my.zakupki.prom.ua/remote/dispatcher/state_contracting_view/7598633", "UA-2021-02-10-005400-a-a1")</f>
        <v>UA-2021-02-10-005400-a-a1</v>
      </c>
      <c r="E290" s="1" t="s">
        <v>827</v>
      </c>
      <c r="F290" s="1" t="s">
        <v>1666</v>
      </c>
      <c r="G290" s="1" t="s">
        <v>1666</v>
      </c>
      <c r="H290" s="1" t="s">
        <v>714</v>
      </c>
      <c r="I290" s="1" t="s">
        <v>1175</v>
      </c>
      <c r="J290" s="1" t="s">
        <v>1198</v>
      </c>
      <c r="K290" s="1" t="s">
        <v>476</v>
      </c>
      <c r="L290" s="1" t="s">
        <v>39</v>
      </c>
      <c r="M290" s="5">
        <v>2572</v>
      </c>
      <c r="N290" s="6">
        <v>44236</v>
      </c>
      <c r="O290" s="6">
        <v>44561</v>
      </c>
      <c r="P290" s="1" t="s">
        <v>1674</v>
      </c>
    </row>
    <row r="291" spans="1:16" hidden="1">
      <c r="A291" s="4">
        <v>374</v>
      </c>
      <c r="B291" s="2" t="str">
        <f>HYPERLINK("https://my.zakupki.prom.ua/remote/dispatcher/state_purchase_view/25497909", "UA-2021-04-02-006628-b")</f>
        <v>UA-2021-04-02-006628-b</v>
      </c>
      <c r="C291" s="2" t="s">
        <v>1276</v>
      </c>
      <c r="D291" s="2" t="str">
        <f>HYPERLINK("https://my.zakupki.prom.ua/remote/dispatcher/state_contracting_view/8374119", "UA-2021-04-02-006628-b-b1")</f>
        <v>UA-2021-04-02-006628-b-b1</v>
      </c>
      <c r="E291" s="1" t="s">
        <v>831</v>
      </c>
      <c r="F291" s="1" t="s">
        <v>1499</v>
      </c>
      <c r="G291" s="1" t="s">
        <v>1499</v>
      </c>
      <c r="H291" s="1" t="s">
        <v>467</v>
      </c>
      <c r="I291" s="1" t="s">
        <v>1175</v>
      </c>
      <c r="J291" s="1" t="s">
        <v>1212</v>
      </c>
      <c r="K291" s="1" t="s">
        <v>448</v>
      </c>
      <c r="L291" s="1" t="s">
        <v>6</v>
      </c>
      <c r="M291" s="5">
        <v>765</v>
      </c>
      <c r="N291" s="6">
        <v>44287</v>
      </c>
      <c r="O291" s="6">
        <v>44561</v>
      </c>
      <c r="P291" s="1" t="s">
        <v>1674</v>
      </c>
    </row>
    <row r="292" spans="1:16" hidden="1">
      <c r="A292" s="4">
        <v>375</v>
      </c>
      <c r="B292" s="2" t="str">
        <f>HYPERLINK("https://my.zakupki.prom.ua/remote/dispatcher/state_purchase_view/32316446", "UA-2021-11-29-000875-c")</f>
        <v>UA-2021-11-29-000875-c</v>
      </c>
      <c r="C292" s="2" t="s">
        <v>1276</v>
      </c>
      <c r="D292" s="2" t="str">
        <f>HYPERLINK("https://my.zakupki.prom.ua/remote/dispatcher/state_contracting_view/11564990", "UA-2021-11-29-000875-c-c1")</f>
        <v>UA-2021-11-29-000875-c-c1</v>
      </c>
      <c r="E292" s="1" t="s">
        <v>940</v>
      </c>
      <c r="F292" s="1" t="s">
        <v>1514</v>
      </c>
      <c r="G292" s="1" t="s">
        <v>1514</v>
      </c>
      <c r="H292" s="1" t="s">
        <v>502</v>
      </c>
      <c r="I292" s="1" t="s">
        <v>1175</v>
      </c>
      <c r="J292" s="1" t="s">
        <v>1212</v>
      </c>
      <c r="K292" s="1" t="s">
        <v>448</v>
      </c>
      <c r="L292" s="1" t="s">
        <v>721</v>
      </c>
      <c r="M292" s="5">
        <v>336</v>
      </c>
      <c r="N292" s="6">
        <v>44525</v>
      </c>
      <c r="O292" s="6">
        <v>44561</v>
      </c>
      <c r="P292" s="1" t="s">
        <v>1674</v>
      </c>
    </row>
    <row r="293" spans="1:16" hidden="1">
      <c r="A293" s="4">
        <v>376</v>
      </c>
      <c r="B293" s="2" t="str">
        <f>HYPERLINK("https://my.zakupki.prom.ua/remote/dispatcher/state_purchase_view/32650799", "UA-2021-12-06-015485-c")</f>
        <v>UA-2021-12-06-015485-c</v>
      </c>
      <c r="C293" s="2" t="s">
        <v>1276</v>
      </c>
      <c r="D293" s="2" t="str">
        <f>HYPERLINK("https://my.zakupki.prom.ua/remote/dispatcher/state_contracting_view/11719266", "UA-2021-12-06-015485-c-c1")</f>
        <v>UA-2021-12-06-015485-c-c1</v>
      </c>
      <c r="E293" s="1" t="s">
        <v>839</v>
      </c>
      <c r="F293" s="1" t="s">
        <v>1466</v>
      </c>
      <c r="G293" s="1" t="s">
        <v>1466</v>
      </c>
      <c r="H293" s="1" t="s">
        <v>622</v>
      </c>
      <c r="I293" s="1" t="s">
        <v>1175</v>
      </c>
      <c r="J293" s="1" t="s">
        <v>1202</v>
      </c>
      <c r="K293" s="1" t="s">
        <v>289</v>
      </c>
      <c r="L293" s="1" t="s">
        <v>851</v>
      </c>
      <c r="M293" s="5">
        <v>1216</v>
      </c>
      <c r="N293" s="6">
        <v>44533</v>
      </c>
      <c r="O293" s="6">
        <v>44561</v>
      </c>
      <c r="P293" s="1" t="s">
        <v>1674</v>
      </c>
    </row>
    <row r="294" spans="1:16" hidden="1">
      <c r="A294" s="4">
        <v>377</v>
      </c>
      <c r="B294" s="2" t="str">
        <f>HYPERLINK("https://my.zakupki.prom.ua/remote/dispatcher/state_purchase_view/32299544", "UA-2021-11-26-013020-a")</f>
        <v>UA-2021-11-26-013020-a</v>
      </c>
      <c r="C294" s="2" t="s">
        <v>1276</v>
      </c>
      <c r="D294" s="2" t="str">
        <f>HYPERLINK("https://my.zakupki.prom.ua/remote/dispatcher/state_contracting_view/11557646", "UA-2021-11-26-013020-a-a1")</f>
        <v>UA-2021-11-26-013020-a-a1</v>
      </c>
      <c r="E294" s="1" t="s">
        <v>868</v>
      </c>
      <c r="F294" s="1" t="s">
        <v>1389</v>
      </c>
      <c r="G294" s="1" t="s">
        <v>1389</v>
      </c>
      <c r="H294" s="1" t="s">
        <v>438</v>
      </c>
      <c r="I294" s="1" t="s">
        <v>1175</v>
      </c>
      <c r="J294" s="1" t="s">
        <v>1107</v>
      </c>
      <c r="K294" s="1" t="s">
        <v>339</v>
      </c>
      <c r="L294" s="1" t="s">
        <v>369</v>
      </c>
      <c r="M294" s="5">
        <v>470</v>
      </c>
      <c r="N294" s="6">
        <v>44525</v>
      </c>
      <c r="O294" s="6">
        <v>44561</v>
      </c>
      <c r="P294" s="1" t="s">
        <v>1674</v>
      </c>
    </row>
    <row r="295" spans="1:16" hidden="1">
      <c r="A295" s="4">
        <v>378</v>
      </c>
      <c r="B295" s="2" t="str">
        <f>HYPERLINK("https://my.zakupki.prom.ua/remote/dispatcher/state_purchase_view/23243229", "UA-2021-01-25-010471-b")</f>
        <v>UA-2021-01-25-010471-b</v>
      </c>
      <c r="C295" s="2" t="s">
        <v>1276</v>
      </c>
      <c r="D295" s="2" t="str">
        <f>HYPERLINK("https://my.zakupki.prom.ua/remote/dispatcher/state_contracting_view/7328420", "UA-2021-01-25-010471-b-b1")</f>
        <v>UA-2021-01-25-010471-b-b1</v>
      </c>
      <c r="E295" s="1" t="s">
        <v>582</v>
      </c>
      <c r="F295" s="1" t="s">
        <v>1376</v>
      </c>
      <c r="G295" s="1" t="s">
        <v>1376</v>
      </c>
      <c r="H295" s="1" t="s">
        <v>227</v>
      </c>
      <c r="I295" s="1" t="s">
        <v>1175</v>
      </c>
      <c r="J295" s="1" t="s">
        <v>1139</v>
      </c>
      <c r="K295" s="1" t="s">
        <v>474</v>
      </c>
      <c r="L295" s="1" t="s">
        <v>370</v>
      </c>
      <c r="M295" s="5">
        <v>11040</v>
      </c>
      <c r="N295" s="6">
        <v>44221</v>
      </c>
      <c r="O295" s="6">
        <v>44561</v>
      </c>
      <c r="P295" s="1" t="s">
        <v>1674</v>
      </c>
    </row>
    <row r="296" spans="1:16" hidden="1">
      <c r="A296" s="4">
        <v>379</v>
      </c>
      <c r="B296" s="2" t="str">
        <f>HYPERLINK("https://my.zakupki.prom.ua/remote/dispatcher/state_purchase_view/23870702", "UA-2021-02-10-008589-a")</f>
        <v>UA-2021-02-10-008589-a</v>
      </c>
      <c r="C296" s="2" t="s">
        <v>1276</v>
      </c>
      <c r="D296" s="2" t="str">
        <f>HYPERLINK("https://my.zakupki.prom.ua/remote/dispatcher/state_contracting_view/7604109", "UA-2021-02-10-008589-a-a1")</f>
        <v>UA-2021-02-10-008589-a-a1</v>
      </c>
      <c r="E296" s="1" t="s">
        <v>1016</v>
      </c>
      <c r="F296" s="1" t="s">
        <v>1253</v>
      </c>
      <c r="G296" s="1" t="s">
        <v>1253</v>
      </c>
      <c r="H296" s="1" t="s">
        <v>794</v>
      </c>
      <c r="I296" s="1" t="s">
        <v>1175</v>
      </c>
      <c r="J296" s="1" t="s">
        <v>1664</v>
      </c>
      <c r="K296" s="1" t="s">
        <v>595</v>
      </c>
      <c r="L296" s="1" t="s">
        <v>85</v>
      </c>
      <c r="M296" s="5">
        <v>8000</v>
      </c>
      <c r="N296" s="6">
        <v>44235</v>
      </c>
      <c r="O296" s="6">
        <v>44561</v>
      </c>
      <c r="P296" s="1" t="s">
        <v>1674</v>
      </c>
    </row>
    <row r="297" spans="1:16" hidden="1">
      <c r="A297" s="4">
        <v>380</v>
      </c>
      <c r="B297" s="2" t="str">
        <f>HYPERLINK("https://my.zakupki.prom.ua/remote/dispatcher/state_purchase_view/23836541", "UA-2021-02-09-013099-a")</f>
        <v>UA-2021-02-09-013099-a</v>
      </c>
      <c r="C297" s="2" t="s">
        <v>1276</v>
      </c>
      <c r="D297" s="2" t="str">
        <f>HYPERLINK("https://my.zakupki.prom.ua/remote/dispatcher/state_contracting_view/7587903", "UA-2021-02-09-013099-a-a1")</f>
        <v>UA-2021-02-09-013099-a-a1</v>
      </c>
      <c r="E297" s="1" t="s">
        <v>901</v>
      </c>
      <c r="F297" s="1" t="s">
        <v>1167</v>
      </c>
      <c r="G297" s="1" t="s">
        <v>1167</v>
      </c>
      <c r="H297" s="1" t="s">
        <v>828</v>
      </c>
      <c r="I297" s="1" t="s">
        <v>1175</v>
      </c>
      <c r="J297" s="1" t="s">
        <v>1196</v>
      </c>
      <c r="K297" s="1" t="s">
        <v>468</v>
      </c>
      <c r="L297" s="1" t="s">
        <v>846</v>
      </c>
      <c r="M297" s="5">
        <v>108</v>
      </c>
      <c r="N297" s="6">
        <v>44231</v>
      </c>
      <c r="O297" s="6">
        <v>44561</v>
      </c>
      <c r="P297" s="1" t="s">
        <v>1674</v>
      </c>
    </row>
    <row r="298" spans="1:16" hidden="1">
      <c r="A298" s="4">
        <v>381</v>
      </c>
      <c r="B298" s="2" t="str">
        <f>HYPERLINK("https://my.zakupki.prom.ua/remote/dispatcher/state_purchase_view/26256258", "UA-2021-04-29-004349-c")</f>
        <v>UA-2021-04-29-004349-c</v>
      </c>
      <c r="C298" s="2" t="s">
        <v>1276</v>
      </c>
      <c r="D298" s="2" t="str">
        <f>HYPERLINK("https://my.zakupki.prom.ua/remote/dispatcher/state_contracting_view/8737460", "UA-2021-04-29-004349-c-c1")</f>
        <v>UA-2021-04-29-004349-c-c1</v>
      </c>
      <c r="E298" s="1" t="s">
        <v>990</v>
      </c>
      <c r="F298" s="1" t="s">
        <v>1565</v>
      </c>
      <c r="G298" s="1" t="s">
        <v>1565</v>
      </c>
      <c r="H298" s="1" t="s">
        <v>551</v>
      </c>
      <c r="I298" s="1" t="s">
        <v>1175</v>
      </c>
      <c r="J298" s="1" t="s">
        <v>1628</v>
      </c>
      <c r="K298" s="1" t="s">
        <v>531</v>
      </c>
      <c r="L298" s="1" t="s">
        <v>409</v>
      </c>
      <c r="M298" s="5">
        <v>9027</v>
      </c>
      <c r="N298" s="6">
        <v>44315</v>
      </c>
      <c r="O298" s="6">
        <v>44561</v>
      </c>
      <c r="P298" s="1" t="s">
        <v>1674</v>
      </c>
    </row>
    <row r="299" spans="1:16" hidden="1">
      <c r="A299" s="4">
        <v>382</v>
      </c>
      <c r="B299" s="2" t="str">
        <f>HYPERLINK("https://my.zakupki.prom.ua/remote/dispatcher/state_purchase_view/25671663", "UA-2021-04-09-000643-a")</f>
        <v>UA-2021-04-09-000643-a</v>
      </c>
      <c r="C299" s="2" t="s">
        <v>1276</v>
      </c>
      <c r="D299" s="2" t="str">
        <f>HYPERLINK("https://my.zakupki.prom.ua/remote/dispatcher/state_contracting_view/8456711", "UA-2021-04-09-000643-a-a1")</f>
        <v>UA-2021-04-09-000643-a-a1</v>
      </c>
      <c r="E299" s="1" t="s">
        <v>904</v>
      </c>
      <c r="F299" s="1" t="s">
        <v>1417</v>
      </c>
      <c r="G299" s="1" t="s">
        <v>1417</v>
      </c>
      <c r="H299" s="1" t="s">
        <v>608</v>
      </c>
      <c r="I299" s="1" t="s">
        <v>1175</v>
      </c>
      <c r="J299" s="1" t="s">
        <v>1089</v>
      </c>
      <c r="K299" s="1" t="s">
        <v>341</v>
      </c>
      <c r="L299" s="1" t="s">
        <v>62</v>
      </c>
      <c r="M299" s="5">
        <v>160</v>
      </c>
      <c r="N299" s="6">
        <v>44293</v>
      </c>
      <c r="O299" s="6">
        <v>44561</v>
      </c>
      <c r="P299" s="1" t="s">
        <v>1674</v>
      </c>
    </row>
    <row r="300" spans="1:16" hidden="1">
      <c r="A300" s="4">
        <v>383</v>
      </c>
      <c r="B300" s="2" t="str">
        <f>HYPERLINK("https://my.zakupki.prom.ua/remote/dispatcher/state_purchase_view/24966888", "UA-2021-03-17-002332-c")</f>
        <v>UA-2021-03-17-002332-c</v>
      </c>
      <c r="C300" s="2" t="s">
        <v>1276</v>
      </c>
      <c r="D300" s="2" t="str">
        <f>HYPERLINK("https://my.zakupki.prom.ua/remote/dispatcher/state_contracting_view/8121040", "UA-2021-03-17-002332-c-c1")</f>
        <v>UA-2021-03-17-002332-c-c1</v>
      </c>
      <c r="E300" s="1" t="s">
        <v>571</v>
      </c>
      <c r="F300" s="1" t="s">
        <v>1451</v>
      </c>
      <c r="G300" s="1" t="s">
        <v>1451</v>
      </c>
      <c r="H300" s="1" t="s">
        <v>607</v>
      </c>
      <c r="I300" s="1" t="s">
        <v>1175</v>
      </c>
      <c r="J300" s="1" t="s">
        <v>1202</v>
      </c>
      <c r="K300" s="1" t="s">
        <v>289</v>
      </c>
      <c r="L300" s="1" t="s">
        <v>206</v>
      </c>
      <c r="M300" s="5">
        <v>855</v>
      </c>
      <c r="N300" s="6">
        <v>44271</v>
      </c>
      <c r="O300" s="6">
        <v>44561</v>
      </c>
      <c r="P300" s="1" t="s">
        <v>1674</v>
      </c>
    </row>
    <row r="301" spans="1:16" hidden="1">
      <c r="A301" s="4">
        <v>384</v>
      </c>
      <c r="B301" s="2" t="str">
        <f>HYPERLINK("https://my.zakupki.prom.ua/remote/dispatcher/state_purchase_view/25043891", "UA-2021-03-18-008631-a")</f>
        <v>UA-2021-03-18-008631-a</v>
      </c>
      <c r="C301" s="2" t="s">
        <v>1276</v>
      </c>
      <c r="D301" s="2" t="str">
        <f>HYPERLINK("https://my.zakupki.prom.ua/remote/dispatcher/state_contracting_view/8162465", "UA-2021-03-18-008631-a-a1")</f>
        <v>UA-2021-03-18-008631-a-a1</v>
      </c>
      <c r="E301" s="1" t="s">
        <v>69</v>
      </c>
      <c r="F301" s="1" t="s">
        <v>1438</v>
      </c>
      <c r="G301" s="1" t="s">
        <v>1438</v>
      </c>
      <c r="H301" s="1" t="s">
        <v>608</v>
      </c>
      <c r="I301" s="1" t="s">
        <v>1175</v>
      </c>
      <c r="J301" s="1" t="s">
        <v>1202</v>
      </c>
      <c r="K301" s="1" t="s">
        <v>289</v>
      </c>
      <c r="L301" s="1" t="s">
        <v>224</v>
      </c>
      <c r="M301" s="5">
        <v>294</v>
      </c>
      <c r="N301" s="6">
        <v>44273</v>
      </c>
      <c r="O301" s="6">
        <v>44561</v>
      </c>
      <c r="P301" s="1" t="s">
        <v>1674</v>
      </c>
    </row>
    <row r="302" spans="1:16" hidden="1">
      <c r="A302" s="4">
        <v>385</v>
      </c>
      <c r="B302" s="2" t="str">
        <f>HYPERLINK("https://my.zakupki.prom.ua/remote/dispatcher/state_purchase_view/25209103", "UA-2021-03-24-007254-b")</f>
        <v>UA-2021-03-24-007254-b</v>
      </c>
      <c r="C302" s="2" t="s">
        <v>1276</v>
      </c>
      <c r="D302" s="2" t="str">
        <f>HYPERLINK("https://my.zakupki.prom.ua/remote/dispatcher/state_contracting_view/8247516", "UA-2021-03-24-007254-b-b1")</f>
        <v>UA-2021-03-24-007254-b-b1</v>
      </c>
      <c r="E302" s="1" t="s">
        <v>112</v>
      </c>
      <c r="F302" s="1" t="s">
        <v>1520</v>
      </c>
      <c r="G302" s="1" t="s">
        <v>1520</v>
      </c>
      <c r="H302" s="1" t="s">
        <v>625</v>
      </c>
      <c r="I302" s="1" t="s">
        <v>1175</v>
      </c>
      <c r="J302" s="1" t="s">
        <v>1142</v>
      </c>
      <c r="K302" s="1" t="s">
        <v>340</v>
      </c>
      <c r="L302" s="1" t="s">
        <v>354</v>
      </c>
      <c r="M302" s="5">
        <v>250</v>
      </c>
      <c r="N302" s="6">
        <v>44279</v>
      </c>
      <c r="O302" s="6">
        <v>44561</v>
      </c>
      <c r="P302" s="1" t="s">
        <v>1674</v>
      </c>
    </row>
    <row r="303" spans="1:16" hidden="1">
      <c r="A303" s="4">
        <v>386</v>
      </c>
      <c r="B303" s="2" t="str">
        <f>HYPERLINK("https://my.zakupki.prom.ua/remote/dispatcher/state_purchase_view/25057392", "UA-2021-03-19-000199-b")</f>
        <v>UA-2021-03-19-000199-b</v>
      </c>
      <c r="C303" s="2" t="s">
        <v>1276</v>
      </c>
      <c r="D303" s="2" t="str">
        <f>HYPERLINK("https://my.zakupki.prom.ua/remote/dispatcher/state_contracting_view/8164456", "UA-2021-03-19-000199-b-b1")</f>
        <v>UA-2021-03-19-000199-b-b1</v>
      </c>
      <c r="E303" s="1" t="s">
        <v>951</v>
      </c>
      <c r="F303" s="1" t="s">
        <v>1454</v>
      </c>
      <c r="G303" s="1" t="s">
        <v>1454</v>
      </c>
      <c r="H303" s="1" t="s">
        <v>624</v>
      </c>
      <c r="I303" s="1" t="s">
        <v>1175</v>
      </c>
      <c r="J303" s="1" t="s">
        <v>1202</v>
      </c>
      <c r="K303" s="1" t="s">
        <v>289</v>
      </c>
      <c r="L303" s="1" t="s">
        <v>224</v>
      </c>
      <c r="M303" s="5">
        <v>288</v>
      </c>
      <c r="N303" s="6">
        <v>44273</v>
      </c>
      <c r="O303" s="6">
        <v>44561</v>
      </c>
      <c r="P303" s="1" t="s">
        <v>1674</v>
      </c>
    </row>
    <row r="304" spans="1:16" hidden="1">
      <c r="A304" s="4">
        <v>387</v>
      </c>
      <c r="B304" s="2" t="str">
        <f>HYPERLINK("https://my.zakupki.prom.ua/remote/dispatcher/state_purchase_view/32315319", "UA-2021-11-29-000640-c")</f>
        <v>UA-2021-11-29-000640-c</v>
      </c>
      <c r="C304" s="2" t="s">
        <v>1276</v>
      </c>
      <c r="D304" s="2" t="str">
        <f>HYPERLINK("https://my.zakupki.prom.ua/remote/dispatcher/state_contracting_view/11564676", "UA-2021-11-29-000640-c-c1")</f>
        <v>UA-2021-11-29-000640-c-c1</v>
      </c>
      <c r="E304" s="1" t="s">
        <v>975</v>
      </c>
      <c r="F304" s="1" t="s">
        <v>1295</v>
      </c>
      <c r="G304" s="1" t="s">
        <v>1295</v>
      </c>
      <c r="H304" s="1" t="s">
        <v>564</v>
      </c>
      <c r="I304" s="1" t="s">
        <v>1175</v>
      </c>
      <c r="J304" s="1" t="s">
        <v>1212</v>
      </c>
      <c r="K304" s="1" t="s">
        <v>448</v>
      </c>
      <c r="L304" s="1" t="s">
        <v>721</v>
      </c>
      <c r="M304" s="5">
        <v>48</v>
      </c>
      <c r="N304" s="6">
        <v>44525</v>
      </c>
      <c r="O304" s="6">
        <v>44561</v>
      </c>
      <c r="P304" s="1" t="s">
        <v>1674</v>
      </c>
    </row>
    <row r="305" spans="1:16" hidden="1">
      <c r="A305" s="4">
        <v>388</v>
      </c>
      <c r="B305" s="2" t="str">
        <f>HYPERLINK("https://my.zakupki.prom.ua/remote/dispatcher/state_purchase_view/32315779", "UA-2021-11-29-000755-c")</f>
        <v>UA-2021-11-29-000755-c</v>
      </c>
      <c r="C305" s="2" t="s">
        <v>1276</v>
      </c>
      <c r="D305" s="2" t="str">
        <f>HYPERLINK("https://my.zakupki.prom.ua/remote/dispatcher/state_contracting_view/11564847", "UA-2021-11-29-000755-c-c1")</f>
        <v>UA-2021-11-29-000755-c-c1</v>
      </c>
      <c r="E305" s="1" t="s">
        <v>450</v>
      </c>
      <c r="F305" s="1" t="s">
        <v>1510</v>
      </c>
      <c r="G305" s="1" t="s">
        <v>1510</v>
      </c>
      <c r="H305" s="1" t="s">
        <v>565</v>
      </c>
      <c r="I305" s="1" t="s">
        <v>1175</v>
      </c>
      <c r="J305" s="1" t="s">
        <v>1212</v>
      </c>
      <c r="K305" s="1" t="s">
        <v>448</v>
      </c>
      <c r="L305" s="1" t="s">
        <v>721</v>
      </c>
      <c r="M305" s="5">
        <v>945.5</v>
      </c>
      <c r="N305" s="6">
        <v>44525</v>
      </c>
      <c r="O305" s="6">
        <v>44561</v>
      </c>
      <c r="P305" s="1" t="s">
        <v>1674</v>
      </c>
    </row>
    <row r="306" spans="1:16" hidden="1">
      <c r="A306" s="4">
        <v>389</v>
      </c>
      <c r="B306" s="2" t="str">
        <f>HYPERLINK("https://my.zakupki.prom.ua/remote/dispatcher/state_purchase_view/32766985", "UA-2021-12-08-010558-c")</f>
        <v>UA-2021-12-08-010558-c</v>
      </c>
      <c r="C306" s="2" t="s">
        <v>1276</v>
      </c>
      <c r="D306" s="2" t="str">
        <f>HYPERLINK("https://my.zakupki.prom.ua/remote/dispatcher/state_contracting_view/11774057", "UA-2021-12-08-010558-c-c1")</f>
        <v>UA-2021-12-08-010558-c-c1</v>
      </c>
      <c r="E306" s="1" t="s">
        <v>115</v>
      </c>
      <c r="F306" s="1" t="s">
        <v>1264</v>
      </c>
      <c r="G306" s="1" t="s">
        <v>1264</v>
      </c>
      <c r="H306" s="1" t="s">
        <v>750</v>
      </c>
      <c r="I306" s="1" t="s">
        <v>1175</v>
      </c>
      <c r="J306" s="1" t="s">
        <v>1632</v>
      </c>
      <c r="K306" s="1" t="s">
        <v>544</v>
      </c>
      <c r="L306" s="1" t="s">
        <v>763</v>
      </c>
      <c r="M306" s="5">
        <v>7473</v>
      </c>
      <c r="N306" s="6">
        <v>44536</v>
      </c>
      <c r="O306" s="6">
        <v>44561</v>
      </c>
      <c r="P306" s="1" t="s">
        <v>1674</v>
      </c>
    </row>
    <row r="307" spans="1:16" hidden="1">
      <c r="A307" s="4">
        <v>390</v>
      </c>
      <c r="B307" s="2" t="str">
        <f>HYPERLINK("https://my.zakupki.prom.ua/remote/dispatcher/state_purchase_view/32581830", "UA-2021-12-03-015792-c")</f>
        <v>UA-2021-12-03-015792-c</v>
      </c>
      <c r="C307" s="2" t="s">
        <v>1276</v>
      </c>
      <c r="D307" s="2" t="str">
        <f>HYPERLINK("https://my.zakupki.prom.ua/remote/dispatcher/state_contracting_view/11687668", "UA-2021-12-03-015792-c-c1")</f>
        <v>UA-2021-12-03-015792-c-c1</v>
      </c>
      <c r="E307" s="1" t="s">
        <v>824</v>
      </c>
      <c r="F307" s="1" t="s">
        <v>1582</v>
      </c>
      <c r="G307" s="1" t="s">
        <v>1582</v>
      </c>
      <c r="H307" s="1" t="s">
        <v>719</v>
      </c>
      <c r="I307" s="1" t="s">
        <v>1175</v>
      </c>
      <c r="J307" s="1" t="s">
        <v>1290</v>
      </c>
      <c r="K307" s="1" t="s">
        <v>333</v>
      </c>
      <c r="L307" s="1" t="s">
        <v>156</v>
      </c>
      <c r="M307" s="5">
        <v>292.36</v>
      </c>
      <c r="N307" s="6">
        <v>44533</v>
      </c>
      <c r="O307" s="6">
        <v>44561</v>
      </c>
      <c r="P307" s="1" t="s">
        <v>1674</v>
      </c>
    </row>
    <row r="308" spans="1:16" hidden="1">
      <c r="A308" s="4">
        <v>391</v>
      </c>
      <c r="B308" s="2" t="str">
        <f>HYPERLINK("https://my.zakupki.prom.ua/remote/dispatcher/state_purchase_view/32451923", "UA-2021-12-01-011948-c")</f>
        <v>UA-2021-12-01-011948-c</v>
      </c>
      <c r="C308" s="2" t="s">
        <v>1276</v>
      </c>
      <c r="D308" s="2" t="str">
        <f>HYPERLINK("https://my.zakupki.prom.ua/remote/dispatcher/state_contracting_view/11628956", "UA-2021-12-01-011948-c-c1")</f>
        <v>UA-2021-12-01-011948-c-c1</v>
      </c>
      <c r="E308" s="1" t="s">
        <v>1064</v>
      </c>
      <c r="F308" s="1" t="s">
        <v>1521</v>
      </c>
      <c r="G308" s="1" t="s">
        <v>1521</v>
      </c>
      <c r="H308" s="1" t="s">
        <v>499</v>
      </c>
      <c r="I308" s="1" t="s">
        <v>1175</v>
      </c>
      <c r="J308" s="1" t="s">
        <v>1148</v>
      </c>
      <c r="K308" s="1" t="s">
        <v>296</v>
      </c>
      <c r="L308" s="1" t="s">
        <v>668</v>
      </c>
      <c r="M308" s="5">
        <v>810.52</v>
      </c>
      <c r="N308" s="6">
        <v>44529</v>
      </c>
      <c r="O308" s="6">
        <v>44561</v>
      </c>
      <c r="P308" s="1" t="s">
        <v>1674</v>
      </c>
    </row>
    <row r="309" spans="1:16" hidden="1">
      <c r="A309" s="4">
        <v>392</v>
      </c>
      <c r="B309" s="2" t="str">
        <f>HYPERLINK("https://my.zakupki.prom.ua/remote/dispatcher/state_purchase_view/32449090", "UA-2021-12-01-011189-c")</f>
        <v>UA-2021-12-01-011189-c</v>
      </c>
      <c r="C309" s="2" t="s">
        <v>1276</v>
      </c>
      <c r="D309" s="2" t="str">
        <f>HYPERLINK("https://my.zakupki.prom.ua/remote/dispatcher/state_contracting_view/11627336", "UA-2021-12-01-011189-c-c1")</f>
        <v>UA-2021-12-01-011189-c-c1</v>
      </c>
      <c r="E309" s="1" t="s">
        <v>433</v>
      </c>
      <c r="F309" s="1" t="s">
        <v>1477</v>
      </c>
      <c r="G309" s="1" t="s">
        <v>1477</v>
      </c>
      <c r="H309" s="1" t="s">
        <v>494</v>
      </c>
      <c r="I309" s="1" t="s">
        <v>1175</v>
      </c>
      <c r="J309" s="1" t="s">
        <v>1148</v>
      </c>
      <c r="K309" s="1" t="s">
        <v>296</v>
      </c>
      <c r="L309" s="1" t="s">
        <v>669</v>
      </c>
      <c r="M309" s="5">
        <v>347</v>
      </c>
      <c r="N309" s="6">
        <v>44529</v>
      </c>
      <c r="O309" s="6">
        <v>44561</v>
      </c>
      <c r="P309" s="1" t="s">
        <v>1674</v>
      </c>
    </row>
    <row r="310" spans="1:16" hidden="1">
      <c r="A310" s="4">
        <v>393</v>
      </c>
      <c r="B310" s="2" t="str">
        <f>HYPERLINK("https://my.zakupki.prom.ua/remote/dispatcher/state_purchase_view/32301812", "UA-2021-11-26-013633-a")</f>
        <v>UA-2021-11-26-013633-a</v>
      </c>
      <c r="C310" s="2" t="s">
        <v>1276</v>
      </c>
      <c r="D310" s="2" t="str">
        <f>HYPERLINK("https://my.zakupki.prom.ua/remote/dispatcher/state_contracting_view/11559177", "UA-2021-11-26-013633-a-a1")</f>
        <v>UA-2021-11-26-013633-a-a1</v>
      </c>
      <c r="E310" s="1" t="s">
        <v>711</v>
      </c>
      <c r="F310" s="1" t="s">
        <v>1507</v>
      </c>
      <c r="G310" s="1" t="s">
        <v>1507</v>
      </c>
      <c r="H310" s="1" t="s">
        <v>555</v>
      </c>
      <c r="I310" s="1" t="s">
        <v>1175</v>
      </c>
      <c r="J310" s="1" t="s">
        <v>1212</v>
      </c>
      <c r="K310" s="1" t="s">
        <v>448</v>
      </c>
      <c r="L310" s="1" t="s">
        <v>721</v>
      </c>
      <c r="M310" s="5">
        <v>60</v>
      </c>
      <c r="N310" s="6">
        <v>44525</v>
      </c>
      <c r="O310" s="6">
        <v>44561</v>
      </c>
      <c r="P310" s="1" t="s">
        <v>1674</v>
      </c>
    </row>
    <row r="311" spans="1:16" hidden="1">
      <c r="A311" s="4">
        <v>394</v>
      </c>
      <c r="B311" s="2" t="str">
        <f>HYPERLINK("https://my.zakupki.prom.ua/remote/dispatcher/state_purchase_view/32655555", "UA-2021-12-06-016831-c")</f>
        <v>UA-2021-12-06-016831-c</v>
      </c>
      <c r="C311" s="2" t="s">
        <v>1276</v>
      </c>
      <c r="D311" s="2" t="str">
        <f>HYPERLINK("https://my.zakupki.prom.ua/remote/dispatcher/state_contracting_view/11721744", "UA-2021-12-06-016831-c-c1")</f>
        <v>UA-2021-12-06-016831-c-c1</v>
      </c>
      <c r="E311" s="1" t="s">
        <v>430</v>
      </c>
      <c r="F311" s="1" t="s">
        <v>1461</v>
      </c>
      <c r="G311" s="1" t="s">
        <v>1461</v>
      </c>
      <c r="H311" s="1" t="s">
        <v>622</v>
      </c>
      <c r="I311" s="1" t="s">
        <v>1175</v>
      </c>
      <c r="J311" s="1" t="s">
        <v>1202</v>
      </c>
      <c r="K311" s="1" t="s">
        <v>289</v>
      </c>
      <c r="L311" s="1" t="s">
        <v>850</v>
      </c>
      <c r="M311" s="5">
        <v>778</v>
      </c>
      <c r="N311" s="6">
        <v>44533</v>
      </c>
      <c r="O311" s="6">
        <v>44561</v>
      </c>
      <c r="P311" s="1" t="s">
        <v>1674</v>
      </c>
    </row>
    <row r="312" spans="1:16" hidden="1">
      <c r="A312" s="4">
        <v>395</v>
      </c>
      <c r="B312" s="2" t="str">
        <f>HYPERLINK("https://my.zakupki.prom.ua/remote/dispatcher/state_purchase_view/32656033", "UA-2021-12-06-016967-c")</f>
        <v>UA-2021-12-06-016967-c</v>
      </c>
      <c r="C312" s="2" t="s">
        <v>1276</v>
      </c>
      <c r="D312" s="2" t="str">
        <f>HYPERLINK("https://my.zakupki.prom.ua/remote/dispatcher/state_contracting_view/11721964", "UA-2021-12-06-016967-c-c1")</f>
        <v>UA-2021-12-06-016967-c-c1</v>
      </c>
      <c r="E312" s="1" t="s">
        <v>939</v>
      </c>
      <c r="F312" s="1" t="s">
        <v>1462</v>
      </c>
      <c r="G312" s="1" t="s">
        <v>1462</v>
      </c>
      <c r="H312" s="1" t="s">
        <v>624</v>
      </c>
      <c r="I312" s="1" t="s">
        <v>1175</v>
      </c>
      <c r="J312" s="1" t="s">
        <v>1202</v>
      </c>
      <c r="K312" s="1" t="s">
        <v>289</v>
      </c>
      <c r="L312" s="1" t="s">
        <v>850</v>
      </c>
      <c r="M312" s="5">
        <v>87</v>
      </c>
      <c r="N312" s="6">
        <v>44533</v>
      </c>
      <c r="O312" s="6">
        <v>44561</v>
      </c>
      <c r="P312" s="1" t="s">
        <v>1674</v>
      </c>
    </row>
    <row r="313" spans="1:16" hidden="1">
      <c r="A313" s="4">
        <v>396</v>
      </c>
      <c r="B313" s="2" t="str">
        <f>HYPERLINK("https://my.zakupki.prom.ua/remote/dispatcher/state_purchase_view/31043962", "UA-2021-10-23-004791-b")</f>
        <v>UA-2021-10-23-004791-b</v>
      </c>
      <c r="C313" s="2" t="s">
        <v>1276</v>
      </c>
      <c r="D313" s="2" t="str">
        <f>HYPERLINK("https://my.zakupki.prom.ua/remote/dispatcher/state_contracting_view/10981495", "UA-2021-10-23-004791-b-b1")</f>
        <v>UA-2021-10-23-004791-b-b1</v>
      </c>
      <c r="E313" s="1" t="s">
        <v>998</v>
      </c>
      <c r="F313" s="1" t="s">
        <v>1241</v>
      </c>
      <c r="G313" s="1" t="s">
        <v>1242</v>
      </c>
      <c r="H313" s="1" t="s">
        <v>793</v>
      </c>
      <c r="I313" s="1" t="s">
        <v>1175</v>
      </c>
      <c r="J313" s="1" t="s">
        <v>1633</v>
      </c>
      <c r="K313" s="1" t="s">
        <v>583</v>
      </c>
      <c r="L313" s="1" t="s">
        <v>99</v>
      </c>
      <c r="M313" s="5">
        <v>1800</v>
      </c>
      <c r="N313" s="6">
        <v>44490</v>
      </c>
      <c r="O313" s="6">
        <v>44561</v>
      </c>
      <c r="P313" s="1" t="s">
        <v>1674</v>
      </c>
    </row>
    <row r="314" spans="1:16" hidden="1">
      <c r="A314" s="4">
        <v>397</v>
      </c>
      <c r="B314" s="2" t="str">
        <f>HYPERLINK("https://my.zakupki.prom.ua/remote/dispatcher/state_purchase_view/31213471", "UA-2021-10-28-006089-a")</f>
        <v>UA-2021-10-28-006089-a</v>
      </c>
      <c r="C314" s="2" t="s">
        <v>1276</v>
      </c>
      <c r="D314" s="2" t="str">
        <f>HYPERLINK("https://my.zakupki.prom.ua/remote/dispatcher/state_contracting_view/11059073", "UA-2021-10-28-006089-a-a1")</f>
        <v>UA-2021-10-28-006089-a-a1</v>
      </c>
      <c r="E314" s="1" t="s">
        <v>297</v>
      </c>
      <c r="F314" s="1" t="s">
        <v>1431</v>
      </c>
      <c r="G314" s="1" t="s">
        <v>1431</v>
      </c>
      <c r="H314" s="1" t="s">
        <v>556</v>
      </c>
      <c r="I314" s="1" t="s">
        <v>1175</v>
      </c>
      <c r="J314" s="1" t="s">
        <v>1089</v>
      </c>
      <c r="K314" s="1" t="s">
        <v>341</v>
      </c>
      <c r="L314" s="1" t="s">
        <v>396</v>
      </c>
      <c r="M314" s="5">
        <v>27</v>
      </c>
      <c r="N314" s="6">
        <v>44495</v>
      </c>
      <c r="O314" s="6">
        <v>44561</v>
      </c>
      <c r="P314" s="1" t="s">
        <v>1674</v>
      </c>
    </row>
    <row r="315" spans="1:16" hidden="1">
      <c r="A315" s="4">
        <v>398</v>
      </c>
      <c r="B315" s="2" t="str">
        <f>HYPERLINK("https://my.zakupki.prom.ua/remote/dispatcher/state_purchase_view/30640943", "UA-2021-10-08-010806-b")</f>
        <v>UA-2021-10-08-010806-b</v>
      </c>
      <c r="C315" s="2" t="s">
        <v>1276</v>
      </c>
      <c r="D315" s="2" t="str">
        <f>HYPERLINK("https://my.zakupki.prom.ua/remote/dispatcher/state_contracting_view/10794847", "UA-2021-10-08-010806-b-b1")</f>
        <v>UA-2021-10-08-010806-b-b1</v>
      </c>
      <c r="E315" s="1" t="s">
        <v>260</v>
      </c>
      <c r="F315" s="1" t="s">
        <v>1363</v>
      </c>
      <c r="G315" s="1" t="s">
        <v>1364</v>
      </c>
      <c r="H315" s="1" t="s">
        <v>659</v>
      </c>
      <c r="I315" s="1" t="s">
        <v>1175</v>
      </c>
      <c r="J315" s="1" t="s">
        <v>1170</v>
      </c>
      <c r="K315" s="1" t="s">
        <v>407</v>
      </c>
      <c r="L315" s="1" t="s">
        <v>137</v>
      </c>
      <c r="M315" s="5">
        <v>25567.200000000001</v>
      </c>
      <c r="N315" s="6">
        <v>44476</v>
      </c>
      <c r="O315" s="6">
        <v>44561</v>
      </c>
      <c r="P315" s="1" t="s">
        <v>1674</v>
      </c>
    </row>
    <row r="316" spans="1:16" hidden="1">
      <c r="A316" s="4">
        <v>399</v>
      </c>
      <c r="B316" s="2" t="str">
        <f>HYPERLINK("https://my.zakupki.prom.ua/remote/dispatcher/state_purchase_view/31497404", "UA-2021-11-05-015045-b")</f>
        <v>UA-2021-11-05-015045-b</v>
      </c>
      <c r="C316" s="2" t="s">
        <v>1276</v>
      </c>
      <c r="D316" s="2" t="str">
        <f>HYPERLINK("https://my.zakupki.prom.ua/remote/dispatcher/state_contracting_view/11188857", "UA-2021-11-05-015045-b-b1")</f>
        <v>UA-2021-11-05-015045-b-b1</v>
      </c>
      <c r="E316" s="1" t="s">
        <v>1072</v>
      </c>
      <c r="F316" s="1" t="s">
        <v>1407</v>
      </c>
      <c r="G316" s="1" t="s">
        <v>1407</v>
      </c>
      <c r="H316" s="1" t="s">
        <v>440</v>
      </c>
      <c r="I316" s="1" t="s">
        <v>1175</v>
      </c>
      <c r="J316" s="1" t="s">
        <v>1192</v>
      </c>
      <c r="K316" s="1" t="s">
        <v>251</v>
      </c>
      <c r="L316" s="1" t="s">
        <v>31</v>
      </c>
      <c r="M316" s="5">
        <v>3000</v>
      </c>
      <c r="N316" s="6">
        <v>44503</v>
      </c>
      <c r="O316" s="6">
        <v>44561</v>
      </c>
      <c r="P316" s="1" t="s">
        <v>1674</v>
      </c>
    </row>
    <row r="317" spans="1:16" hidden="1">
      <c r="A317" s="4">
        <v>400</v>
      </c>
      <c r="B317" s="2" t="str">
        <f>HYPERLINK("https://my.zakupki.prom.ua/remote/dispatcher/state_purchase_view/29654471", "UA-2021-09-08-006894-c")</f>
        <v>UA-2021-09-08-006894-c</v>
      </c>
      <c r="C317" s="2" t="s">
        <v>1276</v>
      </c>
      <c r="D317" s="2" t="str">
        <f>HYPERLINK("https://my.zakupki.prom.ua/remote/dispatcher/state_contracting_view/10340513", "UA-2021-09-08-006894-c-c1")</f>
        <v>UA-2021-09-08-006894-c-c1</v>
      </c>
      <c r="E317" s="1" t="s">
        <v>120</v>
      </c>
      <c r="F317" s="1" t="s">
        <v>1408</v>
      </c>
      <c r="G317" s="1" t="s">
        <v>1408</v>
      </c>
      <c r="H317" s="1" t="s">
        <v>596</v>
      </c>
      <c r="I317" s="1" t="s">
        <v>1175</v>
      </c>
      <c r="J317" s="1" t="s">
        <v>1141</v>
      </c>
      <c r="K317" s="1" t="s">
        <v>404</v>
      </c>
      <c r="L317" s="1" t="s">
        <v>82</v>
      </c>
      <c r="M317" s="5">
        <v>14300</v>
      </c>
      <c r="N317" s="6">
        <v>44447</v>
      </c>
      <c r="O317" s="6">
        <v>44561</v>
      </c>
      <c r="P317" s="1" t="s">
        <v>1674</v>
      </c>
    </row>
    <row r="318" spans="1:16" hidden="1">
      <c r="A318" s="4">
        <v>401</v>
      </c>
      <c r="B318" s="2" t="str">
        <f>HYPERLINK("https://my.zakupki.prom.ua/remote/dispatcher/state_purchase_view/32121736", "UA-2021-11-23-013420-a")</f>
        <v>UA-2021-11-23-013420-a</v>
      </c>
      <c r="C318" s="2" t="s">
        <v>1276</v>
      </c>
      <c r="D318" s="2" t="str">
        <f>HYPERLINK("https://my.zakupki.prom.ua/remote/dispatcher/state_contracting_view/11475756", "UA-2021-11-23-013420-a-a1")</f>
        <v>UA-2021-11-23-013420-a-a1</v>
      </c>
      <c r="E318" s="1" t="s">
        <v>1038</v>
      </c>
      <c r="F318" s="1" t="s">
        <v>1532</v>
      </c>
      <c r="G318" s="1" t="s">
        <v>1532</v>
      </c>
      <c r="H318" s="1" t="s">
        <v>325</v>
      </c>
      <c r="I318" s="1" t="s">
        <v>1175</v>
      </c>
      <c r="J318" s="1" t="s">
        <v>1640</v>
      </c>
      <c r="K318" s="1" t="s">
        <v>537</v>
      </c>
      <c r="L318" s="1" t="s">
        <v>1592</v>
      </c>
      <c r="M318" s="5">
        <v>7780</v>
      </c>
      <c r="N318" s="6">
        <v>44522</v>
      </c>
      <c r="O318" s="6">
        <v>44561</v>
      </c>
      <c r="P318" s="1" t="s">
        <v>1674</v>
      </c>
    </row>
    <row r="319" spans="1:16" hidden="1">
      <c r="A319" s="4">
        <v>402</v>
      </c>
      <c r="B319" s="2" t="str">
        <f>HYPERLINK("https://my.zakupki.prom.ua/remote/dispatcher/state_purchase_view/28870593", "UA-2021-08-09-011676-a")</f>
        <v>UA-2021-08-09-011676-a</v>
      </c>
      <c r="C319" s="2" t="s">
        <v>1276</v>
      </c>
      <c r="D319" s="2" t="str">
        <f>HYPERLINK("https://my.zakupki.prom.ua/remote/dispatcher/state_contracting_view/9975148", "UA-2021-08-09-011676-a-a1")</f>
        <v>UA-2021-08-09-011676-a-a1</v>
      </c>
      <c r="E319" s="1" t="s">
        <v>428</v>
      </c>
      <c r="F319" s="1" t="s">
        <v>1121</v>
      </c>
      <c r="G319" s="1" t="s">
        <v>1121</v>
      </c>
      <c r="H319" s="1" t="s">
        <v>486</v>
      </c>
      <c r="I319" s="1" t="s">
        <v>1175</v>
      </c>
      <c r="J319" s="1" t="s">
        <v>1626</v>
      </c>
      <c r="K319" s="1" t="s">
        <v>597</v>
      </c>
      <c r="L319" s="1" t="s">
        <v>86</v>
      </c>
      <c r="M319" s="5">
        <v>49473</v>
      </c>
      <c r="N319" s="6">
        <v>44417</v>
      </c>
      <c r="O319" s="6">
        <v>44561</v>
      </c>
      <c r="P319" s="1" t="s">
        <v>1674</v>
      </c>
    </row>
    <row r="320" spans="1:16" hidden="1">
      <c r="A320" s="4">
        <v>403</v>
      </c>
      <c r="B320" s="2" t="str">
        <f>HYPERLINK("https://my.zakupki.prom.ua/remote/dispatcher/state_purchase_view/26894722", "UA-2021-05-26-003327-b")</f>
        <v>UA-2021-05-26-003327-b</v>
      </c>
      <c r="C320" s="2" t="s">
        <v>1276</v>
      </c>
      <c r="D320" s="2" t="str">
        <f>HYPERLINK("https://my.zakupki.prom.ua/remote/dispatcher/state_contracting_view/9041756", "UA-2021-05-26-003327-b-b1")</f>
        <v>UA-2021-05-26-003327-b-b1</v>
      </c>
      <c r="E320" s="1" t="s">
        <v>1033</v>
      </c>
      <c r="F320" s="1" t="s">
        <v>1543</v>
      </c>
      <c r="G320" s="1" t="s">
        <v>1543</v>
      </c>
      <c r="H320" s="1" t="s">
        <v>793</v>
      </c>
      <c r="I320" s="1" t="s">
        <v>1175</v>
      </c>
      <c r="J320" s="1" t="s">
        <v>1633</v>
      </c>
      <c r="K320" s="1" t="s">
        <v>583</v>
      </c>
      <c r="L320" s="1" t="s">
        <v>247</v>
      </c>
      <c r="M320" s="5">
        <v>3000</v>
      </c>
      <c r="N320" s="6">
        <v>44340</v>
      </c>
      <c r="O320" s="6">
        <v>44561</v>
      </c>
      <c r="P320" s="1" t="s">
        <v>1674</v>
      </c>
    </row>
    <row r="321" spans="1:16" hidden="1">
      <c r="A321" s="4">
        <v>404</v>
      </c>
      <c r="B321" s="2" t="str">
        <f>HYPERLINK("https://my.zakupki.prom.ua/remote/dispatcher/state_purchase_view/26488877", "UA-2021-05-13-003020-c")</f>
        <v>UA-2021-05-13-003020-c</v>
      </c>
      <c r="C321" s="2" t="s">
        <v>1276</v>
      </c>
      <c r="D321" s="2" t="str">
        <f>HYPERLINK("https://my.zakupki.prom.ua/remote/dispatcher/state_contracting_view/9119661", "UA-2021-05-13-003020-c-b1")</f>
        <v>UA-2021-05-13-003020-c-b1</v>
      </c>
      <c r="E321" s="1" t="s">
        <v>917</v>
      </c>
      <c r="F321" s="1" t="s">
        <v>1334</v>
      </c>
      <c r="G321" s="1" t="s">
        <v>1334</v>
      </c>
      <c r="H321" s="1" t="s">
        <v>659</v>
      </c>
      <c r="I321" s="1" t="s">
        <v>1610</v>
      </c>
      <c r="J321" s="1" t="s">
        <v>1656</v>
      </c>
      <c r="K321" s="1" t="s">
        <v>407</v>
      </c>
      <c r="L321" s="1" t="s">
        <v>58</v>
      </c>
      <c r="M321" s="5">
        <v>125559.92</v>
      </c>
      <c r="N321" s="6">
        <v>44347</v>
      </c>
      <c r="O321" s="6">
        <v>44561</v>
      </c>
      <c r="P321" s="1" t="s">
        <v>1676</v>
      </c>
    </row>
    <row r="322" spans="1:16" hidden="1">
      <c r="A322" s="4">
        <v>405</v>
      </c>
      <c r="B322" s="2" t="str">
        <f>HYPERLINK("https://my.zakupki.prom.ua/remote/dispatcher/state_purchase_view/31499794", "UA-2021-11-05-015928-b")</f>
        <v>UA-2021-11-05-015928-b</v>
      </c>
      <c r="C322" s="2" t="s">
        <v>1276</v>
      </c>
      <c r="D322" s="2" t="str">
        <f>HYPERLINK("https://my.zakupki.prom.ua/remote/dispatcher/state_contracting_view/11190008", "UA-2021-11-05-015928-b-b1")</f>
        <v>UA-2021-11-05-015928-b-b1</v>
      </c>
      <c r="E322" s="1" t="s">
        <v>1019</v>
      </c>
      <c r="F322" s="1" t="s">
        <v>1482</v>
      </c>
      <c r="G322" s="1" t="s">
        <v>1482</v>
      </c>
      <c r="H322" s="1" t="s">
        <v>481</v>
      </c>
      <c r="I322" s="1" t="s">
        <v>1175</v>
      </c>
      <c r="J322" s="1" t="s">
        <v>1665</v>
      </c>
      <c r="K322" s="1" t="s">
        <v>394</v>
      </c>
      <c r="L322" s="1" t="s">
        <v>630</v>
      </c>
      <c r="M322" s="5">
        <v>950</v>
      </c>
      <c r="N322" s="6">
        <v>44504</v>
      </c>
      <c r="O322" s="6">
        <v>44561</v>
      </c>
      <c r="P322" s="1" t="s">
        <v>1674</v>
      </c>
    </row>
    <row r="323" spans="1:16" hidden="1">
      <c r="A323" s="4">
        <v>406</v>
      </c>
      <c r="B323" s="2" t="str">
        <f>HYPERLINK("https://my.zakupki.prom.ua/remote/dispatcher/state_purchase_view/30198690", "UA-2021-09-24-002861-b")</f>
        <v>UA-2021-09-24-002861-b</v>
      </c>
      <c r="C323" s="2" t="s">
        <v>1276</v>
      </c>
      <c r="D323" s="2" t="str">
        <f>HYPERLINK("https://my.zakupki.prom.ua/remote/dispatcher/state_contracting_view/10592240", "UA-2021-09-24-002861-b-b1")</f>
        <v>UA-2021-09-24-002861-b-b1</v>
      </c>
      <c r="E323" s="1" t="s">
        <v>1066</v>
      </c>
      <c r="F323" s="1" t="s">
        <v>1515</v>
      </c>
      <c r="G323" s="1" t="s">
        <v>1515</v>
      </c>
      <c r="H323" s="1" t="s">
        <v>564</v>
      </c>
      <c r="I323" s="1" t="s">
        <v>1175</v>
      </c>
      <c r="J323" s="1" t="s">
        <v>1212</v>
      </c>
      <c r="K323" s="1" t="s">
        <v>448</v>
      </c>
      <c r="L323" s="1" t="s">
        <v>315</v>
      </c>
      <c r="M323" s="5">
        <v>44</v>
      </c>
      <c r="N323" s="6">
        <v>44461</v>
      </c>
      <c r="O323" s="6">
        <v>44561</v>
      </c>
      <c r="P323" s="1" t="s">
        <v>1674</v>
      </c>
    </row>
    <row r="324" spans="1:16" hidden="1">
      <c r="A324" s="4">
        <v>407</v>
      </c>
      <c r="B324" s="2" t="str">
        <f>HYPERLINK("https://my.zakupki.prom.ua/remote/dispatcher/state_purchase_view/32319859", "UA-2021-11-29-001803-c")</f>
        <v>UA-2021-11-29-001803-c</v>
      </c>
      <c r="C324" s="2" t="s">
        <v>1276</v>
      </c>
      <c r="D324" s="2" t="str">
        <f>HYPERLINK("https://my.zakupki.prom.ua/remote/dispatcher/state_contracting_view/11566739", "UA-2021-11-29-001803-c-c1")</f>
        <v>UA-2021-11-29-001803-c-c1</v>
      </c>
      <c r="E324" s="1" t="s">
        <v>724</v>
      </c>
      <c r="F324" s="1" t="s">
        <v>1515</v>
      </c>
      <c r="G324" s="1" t="s">
        <v>1515</v>
      </c>
      <c r="H324" s="1" t="s">
        <v>564</v>
      </c>
      <c r="I324" s="1" t="s">
        <v>1175</v>
      </c>
      <c r="J324" s="1" t="s">
        <v>1212</v>
      </c>
      <c r="K324" s="1" t="s">
        <v>448</v>
      </c>
      <c r="L324" s="1" t="s">
        <v>725</v>
      </c>
      <c r="M324" s="5">
        <v>196</v>
      </c>
      <c r="N324" s="6">
        <v>44525</v>
      </c>
      <c r="O324" s="6">
        <v>44561</v>
      </c>
      <c r="P324" s="1" t="s">
        <v>1674</v>
      </c>
    </row>
    <row r="325" spans="1:16" hidden="1">
      <c r="A325" s="4">
        <v>408</v>
      </c>
      <c r="B325" s="2" t="str">
        <f>HYPERLINK("https://my.zakupki.prom.ua/remote/dispatcher/state_purchase_view/31794555", "UA-2021-11-15-012169-a")</f>
        <v>UA-2021-11-15-012169-a</v>
      </c>
      <c r="C325" s="2" t="s">
        <v>1276</v>
      </c>
      <c r="D325" s="2" t="str">
        <f>HYPERLINK("https://my.zakupki.prom.ua/remote/dispatcher/state_contracting_view/11325486", "UA-2021-11-15-012169-a-a1")</f>
        <v>UA-2021-11-15-012169-a-a1</v>
      </c>
      <c r="E325" s="1" t="s">
        <v>736</v>
      </c>
      <c r="F325" s="1" t="s">
        <v>1377</v>
      </c>
      <c r="G325" s="1" t="s">
        <v>1378</v>
      </c>
      <c r="H325" s="1" t="s">
        <v>469</v>
      </c>
      <c r="I325" s="1" t="s">
        <v>1175</v>
      </c>
      <c r="J325" s="1" t="s">
        <v>1646</v>
      </c>
      <c r="K325" s="1" t="s">
        <v>252</v>
      </c>
      <c r="L325" s="1" t="s">
        <v>170</v>
      </c>
      <c r="M325" s="5">
        <v>34923.08</v>
      </c>
      <c r="N325" s="6">
        <v>44512</v>
      </c>
      <c r="O325" s="6">
        <v>44561</v>
      </c>
      <c r="P325" s="1" t="s">
        <v>1674</v>
      </c>
    </row>
    <row r="326" spans="1:16" hidden="1">
      <c r="A326" s="4">
        <v>409</v>
      </c>
      <c r="B326" s="2" t="str">
        <f>HYPERLINK("https://my.zakupki.prom.ua/remote/dispatcher/state_purchase_view/31796421", "UA-2021-11-15-012930-a")</f>
        <v>UA-2021-11-15-012930-a</v>
      </c>
      <c r="C326" s="2" t="s">
        <v>1276</v>
      </c>
      <c r="D326" s="2" t="str">
        <f>HYPERLINK("https://my.zakupki.prom.ua/remote/dispatcher/state_contracting_view/11330138", "UA-2021-11-15-012930-a-a1")</f>
        <v>UA-2021-11-15-012930-a-a1</v>
      </c>
      <c r="E326" s="1" t="s">
        <v>1071</v>
      </c>
      <c r="F326" s="1" t="s">
        <v>1380</v>
      </c>
      <c r="G326" s="1" t="s">
        <v>1381</v>
      </c>
      <c r="H326" s="1" t="s">
        <v>631</v>
      </c>
      <c r="I326" s="1" t="s">
        <v>1175</v>
      </c>
      <c r="J326" s="1" t="s">
        <v>1646</v>
      </c>
      <c r="K326" s="1" t="s">
        <v>252</v>
      </c>
      <c r="L326" s="1" t="s">
        <v>171</v>
      </c>
      <c r="M326" s="5">
        <v>14919.24</v>
      </c>
      <c r="N326" s="6">
        <v>44512</v>
      </c>
      <c r="O326" s="6">
        <v>44561</v>
      </c>
      <c r="P326" s="1" t="s">
        <v>1674</v>
      </c>
    </row>
    <row r="327" spans="1:16" hidden="1">
      <c r="A327" s="4">
        <v>410</v>
      </c>
      <c r="B327" s="2" t="str">
        <f>HYPERLINK("https://my.zakupki.prom.ua/remote/dispatcher/state_purchase_view/24582670", "UA-2021-03-03-012297-c")</f>
        <v>UA-2021-03-03-012297-c</v>
      </c>
      <c r="C327" s="2" t="s">
        <v>1276</v>
      </c>
      <c r="D327" s="2" t="str">
        <f>HYPERLINK("https://my.zakupki.prom.ua/remote/dispatcher/state_contracting_view/7943037", "UA-2021-03-03-012297-c-c1")</f>
        <v>UA-2021-03-03-012297-c-c1</v>
      </c>
      <c r="E327" s="1" t="s">
        <v>540</v>
      </c>
      <c r="F327" s="1" t="s">
        <v>1568</v>
      </c>
      <c r="G327" s="1" t="s">
        <v>1568</v>
      </c>
      <c r="H327" s="1" t="s">
        <v>536</v>
      </c>
      <c r="I327" s="1" t="s">
        <v>1175</v>
      </c>
      <c r="J327" s="1" t="s">
        <v>1655</v>
      </c>
      <c r="K327" s="1" t="s">
        <v>523</v>
      </c>
      <c r="L327" s="1" t="s">
        <v>11</v>
      </c>
      <c r="M327" s="5">
        <v>990</v>
      </c>
      <c r="N327" s="6">
        <v>44256</v>
      </c>
      <c r="O327" s="6">
        <v>44561</v>
      </c>
      <c r="P327" s="1" t="s">
        <v>1674</v>
      </c>
    </row>
    <row r="328" spans="1:16" hidden="1">
      <c r="A328" s="4">
        <v>411</v>
      </c>
      <c r="B328" s="2" t="str">
        <f>HYPERLINK("https://my.zakupki.prom.ua/remote/dispatcher/state_purchase_view/24901008", "UA-2021-03-15-010604-b")</f>
        <v>UA-2021-03-15-010604-b</v>
      </c>
      <c r="C328" s="2" t="s">
        <v>1276</v>
      </c>
      <c r="D328" s="2" t="str">
        <f>HYPERLINK("https://my.zakupki.prom.ua/remote/dispatcher/state_contracting_view/8090243", "UA-2021-03-15-010604-b-b1")</f>
        <v>UA-2021-03-15-010604-b-b1</v>
      </c>
      <c r="E328" s="1" t="s">
        <v>929</v>
      </c>
      <c r="F328" s="1" t="s">
        <v>1480</v>
      </c>
      <c r="G328" s="1" t="s">
        <v>1480</v>
      </c>
      <c r="H328" s="1" t="s">
        <v>101</v>
      </c>
      <c r="I328" s="1" t="s">
        <v>1175</v>
      </c>
      <c r="J328" s="1" t="s">
        <v>1287</v>
      </c>
      <c r="K328" s="1" t="s">
        <v>356</v>
      </c>
      <c r="L328" s="1" t="s">
        <v>193</v>
      </c>
      <c r="M328" s="5">
        <v>440</v>
      </c>
      <c r="N328" s="6">
        <v>44270</v>
      </c>
      <c r="O328" s="6">
        <v>44561</v>
      </c>
      <c r="P328" s="1" t="s">
        <v>1674</v>
      </c>
    </row>
    <row r="329" spans="1:16" hidden="1">
      <c r="A329" s="4">
        <v>412</v>
      </c>
      <c r="B329" s="2" t="str">
        <f>HYPERLINK("https://my.zakupki.prom.ua/remote/dispatcher/state_purchase_view/23588276", "UA-2021-02-03-004715-a")</f>
        <v>UA-2021-02-03-004715-a</v>
      </c>
      <c r="C329" s="2" t="s">
        <v>1276</v>
      </c>
      <c r="D329" s="2" t="str">
        <f>HYPERLINK("https://my.zakupki.prom.ua/remote/dispatcher/state_contracting_view/7477622", "UA-2021-02-03-004715-a-a1")</f>
        <v>UA-2021-02-03-004715-a-a1</v>
      </c>
      <c r="E329" s="1" t="s">
        <v>435</v>
      </c>
      <c r="F329" s="1" t="s">
        <v>1156</v>
      </c>
      <c r="G329" s="1" t="s">
        <v>1156</v>
      </c>
      <c r="H329" s="1" t="s">
        <v>441</v>
      </c>
      <c r="I329" s="1" t="s">
        <v>1175</v>
      </c>
      <c r="J329" s="1" t="s">
        <v>1191</v>
      </c>
      <c r="K329" s="1" t="s">
        <v>377</v>
      </c>
      <c r="L329" s="1" t="s">
        <v>7</v>
      </c>
      <c r="M329" s="5">
        <v>7000</v>
      </c>
      <c r="N329" s="6">
        <v>44228</v>
      </c>
      <c r="O329" s="6">
        <v>44561</v>
      </c>
      <c r="P329" s="1" t="s">
        <v>1674</v>
      </c>
    </row>
    <row r="330" spans="1:16" hidden="1">
      <c r="A330" s="4">
        <v>413</v>
      </c>
      <c r="B330" s="2" t="str">
        <f>HYPERLINK("https://my.zakupki.prom.ua/remote/dispatcher/state_purchase_view/23633940", "UA-2021-02-04-001857-a")</f>
        <v>UA-2021-02-04-001857-a</v>
      </c>
      <c r="C330" s="2" t="s">
        <v>1276</v>
      </c>
      <c r="D330" s="2" t="str">
        <f>HYPERLINK("https://my.zakupki.prom.ua/remote/dispatcher/state_contracting_view/7497093", "UA-2021-02-04-001857-a-a1")</f>
        <v>UA-2021-02-04-001857-a-a1</v>
      </c>
      <c r="E330" s="1" t="s">
        <v>957</v>
      </c>
      <c r="F330" s="1" t="s">
        <v>1157</v>
      </c>
      <c r="G330" s="1" t="s">
        <v>1157</v>
      </c>
      <c r="H330" s="1" t="s">
        <v>440</v>
      </c>
      <c r="I330" s="1" t="s">
        <v>1175</v>
      </c>
      <c r="J330" s="1" t="s">
        <v>1192</v>
      </c>
      <c r="K330" s="1" t="s">
        <v>251</v>
      </c>
      <c r="L330" s="1" t="s">
        <v>24</v>
      </c>
      <c r="M330" s="5">
        <v>10000</v>
      </c>
      <c r="N330" s="6">
        <v>44228</v>
      </c>
      <c r="O330" s="6">
        <v>44561</v>
      </c>
      <c r="P330" s="1" t="s">
        <v>1674</v>
      </c>
    </row>
    <row r="331" spans="1:16" hidden="1">
      <c r="A331" s="4">
        <v>414</v>
      </c>
      <c r="B331" s="2" t="str">
        <f>HYPERLINK("https://my.zakupki.prom.ua/remote/dispatcher/state_purchase_view/23800602", "UA-2021-02-09-003399-a")</f>
        <v>UA-2021-02-09-003399-a</v>
      </c>
      <c r="C331" s="2" t="s">
        <v>1276</v>
      </c>
      <c r="D331" s="2" t="str">
        <f>HYPERLINK("https://my.zakupki.prom.ua/remote/dispatcher/state_contracting_view/7572053", "UA-2021-02-09-003399-a-a1")</f>
        <v>UA-2021-02-09-003399-a-a1</v>
      </c>
      <c r="E331" s="1" t="s">
        <v>1059</v>
      </c>
      <c r="F331" s="1" t="s">
        <v>1259</v>
      </c>
      <c r="G331" s="1" t="s">
        <v>1259</v>
      </c>
      <c r="H331" s="1" t="s">
        <v>715</v>
      </c>
      <c r="I331" s="1" t="s">
        <v>1175</v>
      </c>
      <c r="J331" s="1" t="s">
        <v>1147</v>
      </c>
      <c r="K331" s="1" t="s">
        <v>329</v>
      </c>
      <c r="L331" s="1" t="s">
        <v>125</v>
      </c>
      <c r="M331" s="5">
        <v>24300</v>
      </c>
      <c r="N331" s="6">
        <v>44231</v>
      </c>
      <c r="O331" s="6">
        <v>44561</v>
      </c>
      <c r="P331" s="1" t="s">
        <v>1674</v>
      </c>
    </row>
    <row r="332" spans="1:16" hidden="1">
      <c r="A332" s="4">
        <v>415</v>
      </c>
      <c r="B332" s="2" t="str">
        <f>HYPERLINK("https://my.zakupki.prom.ua/remote/dispatcher/state_purchase_view/26518539", "UA-2021-05-13-004366-c")</f>
        <v>UA-2021-05-13-004366-c</v>
      </c>
      <c r="C332" s="2" t="s">
        <v>1276</v>
      </c>
      <c r="D332" s="2" t="str">
        <f>HYPERLINK("https://my.zakupki.prom.ua/remote/dispatcher/state_contracting_view/8863540", "UA-2021-05-13-004366-c-c1")</f>
        <v>UA-2021-05-13-004366-c-c1</v>
      </c>
      <c r="E332" s="1" t="s">
        <v>923</v>
      </c>
      <c r="F332" s="1" t="s">
        <v>1435</v>
      </c>
      <c r="G332" s="1" t="s">
        <v>1435</v>
      </c>
      <c r="H332" s="1" t="s">
        <v>608</v>
      </c>
      <c r="I332" s="1" t="s">
        <v>1175</v>
      </c>
      <c r="J332" s="1" t="s">
        <v>1673</v>
      </c>
      <c r="K332" s="1" t="s">
        <v>375</v>
      </c>
      <c r="L332" s="1" t="s">
        <v>131</v>
      </c>
      <c r="M332" s="5">
        <v>784</v>
      </c>
      <c r="N332" s="6">
        <v>44329</v>
      </c>
      <c r="O332" s="6">
        <v>44561</v>
      </c>
      <c r="P332" s="1" t="s">
        <v>1674</v>
      </c>
    </row>
    <row r="333" spans="1:16" hidden="1">
      <c r="A333" s="4">
        <v>416</v>
      </c>
      <c r="B333" s="2" t="str">
        <f>HYPERLINK("https://my.zakupki.prom.ua/remote/dispatcher/state_purchase_view/26612128", "UA-2021-05-18-000125-b")</f>
        <v>UA-2021-05-18-000125-b</v>
      </c>
      <c r="C333" s="2" t="s">
        <v>1276</v>
      </c>
      <c r="D333" s="2" t="str">
        <f>HYPERLINK("https://my.zakupki.prom.ua/remote/dispatcher/state_contracting_view/8907234", "UA-2021-05-18-000125-b-b1")</f>
        <v>UA-2021-05-18-000125-b-b1</v>
      </c>
      <c r="E333" s="1" t="s">
        <v>20</v>
      </c>
      <c r="F333" s="1" t="s">
        <v>1539</v>
      </c>
      <c r="G333" s="1" t="s">
        <v>1539</v>
      </c>
      <c r="H333" s="1" t="s">
        <v>828</v>
      </c>
      <c r="I333" s="1" t="s">
        <v>1175</v>
      </c>
      <c r="J333" s="1" t="s">
        <v>1197</v>
      </c>
      <c r="K333" s="1" t="s">
        <v>437</v>
      </c>
      <c r="L333" s="1" t="s">
        <v>208</v>
      </c>
      <c r="M333" s="5">
        <v>138.97</v>
      </c>
      <c r="N333" s="6">
        <v>44333</v>
      </c>
      <c r="O333" s="6">
        <v>44561</v>
      </c>
      <c r="P333" s="1" t="s">
        <v>1674</v>
      </c>
    </row>
    <row r="334" spans="1:16" hidden="1">
      <c r="A334" s="4">
        <v>417</v>
      </c>
      <c r="B334" s="2" t="str">
        <f>HYPERLINK("https://my.zakupki.prom.ua/remote/dispatcher/state_purchase_view/25891436", "UA-2021-04-16-004000-b")</f>
        <v>UA-2021-04-16-004000-b</v>
      </c>
      <c r="C334" s="2" t="s">
        <v>1276</v>
      </c>
      <c r="D334" s="2" t="str">
        <f>HYPERLINK("https://my.zakupki.prom.ua/remote/dispatcher/state_contracting_view/8561258", "UA-2021-04-16-004000-b-b1")</f>
        <v>UA-2021-04-16-004000-b-b1</v>
      </c>
      <c r="E334" s="1" t="s">
        <v>639</v>
      </c>
      <c r="F334" s="1" t="s">
        <v>1473</v>
      </c>
      <c r="G334" s="1" t="s">
        <v>1473</v>
      </c>
      <c r="H334" s="1" t="s">
        <v>626</v>
      </c>
      <c r="I334" s="1" t="s">
        <v>1175</v>
      </c>
      <c r="J334" s="1" t="s">
        <v>1202</v>
      </c>
      <c r="K334" s="1" t="s">
        <v>289</v>
      </c>
      <c r="L334" s="1" t="s">
        <v>184</v>
      </c>
      <c r="M334" s="5">
        <v>1124</v>
      </c>
      <c r="N334" s="6">
        <v>44301</v>
      </c>
      <c r="O334" s="6">
        <v>44561</v>
      </c>
      <c r="P334" s="1" t="s">
        <v>1674</v>
      </c>
    </row>
    <row r="335" spans="1:16" hidden="1">
      <c r="A335" s="4">
        <v>418</v>
      </c>
      <c r="B335" s="2" t="str">
        <f>HYPERLINK("https://my.zakupki.prom.ua/remote/dispatcher/state_purchase_view/33429302", "UA-2021-12-20-021143-c")</f>
        <v>UA-2021-12-20-021143-c</v>
      </c>
      <c r="C335" s="2" t="s">
        <v>1276</v>
      </c>
      <c r="D335" s="2" t="str">
        <f>HYPERLINK("https://my.zakupki.prom.ua/remote/dispatcher/state_contracting_view/12092618", "UA-2021-12-20-021143-c-c1")</f>
        <v>UA-2021-12-20-021143-c-c1</v>
      </c>
      <c r="E335" s="1" t="s">
        <v>922</v>
      </c>
      <c r="F335" s="1" t="s">
        <v>1572</v>
      </c>
      <c r="G335" s="1" t="s">
        <v>1572</v>
      </c>
      <c r="H335" s="1" t="s">
        <v>109</v>
      </c>
      <c r="I335" s="1" t="s">
        <v>1175</v>
      </c>
      <c r="J335" s="1" t="s">
        <v>1146</v>
      </c>
      <c r="K335" s="1" t="s">
        <v>593</v>
      </c>
      <c r="L335" s="1" t="s">
        <v>1160</v>
      </c>
      <c r="M335" s="5">
        <v>736.82</v>
      </c>
      <c r="N335" s="6">
        <v>44546</v>
      </c>
      <c r="O335" s="6">
        <v>44561</v>
      </c>
      <c r="P335" s="1" t="s">
        <v>1674</v>
      </c>
    </row>
    <row r="336" spans="1:16" hidden="1">
      <c r="A336" s="4">
        <v>419</v>
      </c>
      <c r="B336" s="2" t="str">
        <f>HYPERLINK("https://my.zakupki.prom.ua/remote/dispatcher/state_purchase_view/32656497", "UA-2021-12-06-017082-c")</f>
        <v>UA-2021-12-06-017082-c</v>
      </c>
      <c r="C336" s="2" t="s">
        <v>1276</v>
      </c>
      <c r="D336" s="2" t="str">
        <f>HYPERLINK("https://my.zakupki.prom.ua/remote/dispatcher/state_contracting_view/11722031", "UA-2021-12-06-017082-c-c1")</f>
        <v>UA-2021-12-06-017082-c-c1</v>
      </c>
      <c r="E336" s="1" t="s">
        <v>1011</v>
      </c>
      <c r="F336" s="1" t="s">
        <v>1464</v>
      </c>
      <c r="G336" s="1" t="s">
        <v>1464</v>
      </c>
      <c r="H336" s="1" t="s">
        <v>620</v>
      </c>
      <c r="I336" s="1" t="s">
        <v>1175</v>
      </c>
      <c r="J336" s="1" t="s">
        <v>1202</v>
      </c>
      <c r="K336" s="1" t="s">
        <v>289</v>
      </c>
      <c r="L336" s="1" t="s">
        <v>850</v>
      </c>
      <c r="M336" s="5">
        <v>3500</v>
      </c>
      <c r="N336" s="6">
        <v>44533</v>
      </c>
      <c r="O336" s="6">
        <v>44561</v>
      </c>
      <c r="P336" s="1" t="s">
        <v>1674</v>
      </c>
    </row>
    <row r="337" spans="1:16" hidden="1">
      <c r="A337" s="4">
        <v>420</v>
      </c>
      <c r="B337" s="2" t="str">
        <f>HYPERLINK("https://my.zakupki.prom.ua/remote/dispatcher/state_purchase_view/30782727", "UA-2021-10-13-011290-b")</f>
        <v>UA-2021-10-13-011290-b</v>
      </c>
      <c r="C337" s="2" t="s">
        <v>1276</v>
      </c>
      <c r="D337" s="2" t="str">
        <f>HYPERLINK("https://my.zakupki.prom.ua/remote/dispatcher/state_contracting_view/10861002", "UA-2021-10-13-011290-b-b1")</f>
        <v>UA-2021-10-13-011290-b-b1</v>
      </c>
      <c r="E337" s="1" t="s">
        <v>978</v>
      </c>
      <c r="F337" s="1" t="s">
        <v>1483</v>
      </c>
      <c r="G337" s="1" t="s">
        <v>1483</v>
      </c>
      <c r="H337" s="1" t="s">
        <v>586</v>
      </c>
      <c r="I337" s="1" t="s">
        <v>1175</v>
      </c>
      <c r="J337" s="1" t="s">
        <v>1662</v>
      </c>
      <c r="K337" s="1" t="s">
        <v>479</v>
      </c>
      <c r="L337" s="1" t="s">
        <v>579</v>
      </c>
      <c r="M337" s="5">
        <v>2060</v>
      </c>
      <c r="N337" s="6">
        <v>44481</v>
      </c>
      <c r="O337" s="6">
        <v>44561</v>
      </c>
      <c r="P337" s="1" t="s">
        <v>1674</v>
      </c>
    </row>
    <row r="338" spans="1:16" hidden="1">
      <c r="A338" s="4">
        <v>421</v>
      </c>
      <c r="B338" s="2" t="str">
        <f>HYPERLINK("https://my.zakupki.prom.ua/remote/dispatcher/state_purchase_view/32319384", "UA-2021-11-29-001678-c")</f>
        <v>UA-2021-11-29-001678-c</v>
      </c>
      <c r="C338" s="2" t="s">
        <v>1276</v>
      </c>
      <c r="D338" s="2" t="str">
        <f>HYPERLINK("https://my.zakupki.prom.ua/remote/dispatcher/state_contracting_view/11566528", "UA-2021-11-29-001678-c-c1")</f>
        <v>UA-2021-11-29-001678-c-c1</v>
      </c>
      <c r="E338" s="1" t="s">
        <v>489</v>
      </c>
      <c r="F338" s="1" t="s">
        <v>1507</v>
      </c>
      <c r="G338" s="1" t="s">
        <v>1507</v>
      </c>
      <c r="H338" s="1" t="s">
        <v>555</v>
      </c>
      <c r="I338" s="1" t="s">
        <v>1175</v>
      </c>
      <c r="J338" s="1" t="s">
        <v>1212</v>
      </c>
      <c r="K338" s="1" t="s">
        <v>448</v>
      </c>
      <c r="L338" s="1" t="s">
        <v>725</v>
      </c>
      <c r="M338" s="5">
        <v>500</v>
      </c>
      <c r="N338" s="6">
        <v>44525</v>
      </c>
      <c r="O338" s="6">
        <v>44561</v>
      </c>
      <c r="P338" s="1" t="s">
        <v>1674</v>
      </c>
    </row>
    <row r="339" spans="1:16" hidden="1">
      <c r="A339" s="4">
        <v>422</v>
      </c>
      <c r="B339" s="2" t="str">
        <f>HYPERLINK("https://my.zakupki.prom.ua/remote/dispatcher/state_purchase_view/24582979", "UA-2021-03-03-012415-c")</f>
        <v>UA-2021-03-03-012415-c</v>
      </c>
      <c r="C339" s="2" t="s">
        <v>1276</v>
      </c>
      <c r="D339" s="2" t="str">
        <f>HYPERLINK("https://my.zakupki.prom.ua/remote/dispatcher/state_contracting_view/7943155", "UA-2021-03-03-012415-c-c1")</f>
        <v>UA-2021-03-03-012415-c-c1</v>
      </c>
      <c r="E339" s="1" t="s">
        <v>1067</v>
      </c>
      <c r="F339" s="1" t="s">
        <v>1566</v>
      </c>
      <c r="G339" s="1" t="s">
        <v>1566</v>
      </c>
      <c r="H339" s="1" t="s">
        <v>560</v>
      </c>
      <c r="I339" s="1" t="s">
        <v>1175</v>
      </c>
      <c r="J339" s="1" t="s">
        <v>1655</v>
      </c>
      <c r="K339" s="1" t="s">
        <v>523</v>
      </c>
      <c r="L339" s="1" t="s">
        <v>11</v>
      </c>
      <c r="M339" s="5">
        <v>486</v>
      </c>
      <c r="N339" s="6">
        <v>44256</v>
      </c>
      <c r="O339" s="6">
        <v>44561</v>
      </c>
      <c r="P339" s="1" t="s">
        <v>1674</v>
      </c>
    </row>
    <row r="340" spans="1:16" hidden="1">
      <c r="A340" s="4">
        <v>423</v>
      </c>
      <c r="B340" s="2" t="str">
        <f>HYPERLINK("https://my.zakupki.prom.ua/remote/dispatcher/state_purchase_view/24577463", "UA-2021-03-03-010278-c")</f>
        <v>UA-2021-03-03-010278-c</v>
      </c>
      <c r="C340" s="2" t="s">
        <v>1276</v>
      </c>
      <c r="D340" s="2" t="str">
        <f>HYPERLINK("https://my.zakupki.prom.ua/remote/dispatcher/state_contracting_view/7940866", "UA-2021-03-03-010278-c-c1")</f>
        <v>UA-2021-03-03-010278-c-c1</v>
      </c>
      <c r="E340" s="1" t="s">
        <v>118</v>
      </c>
      <c r="F340" s="1" t="s">
        <v>1527</v>
      </c>
      <c r="G340" s="1" t="s">
        <v>1527</v>
      </c>
      <c r="H340" s="1" t="s">
        <v>622</v>
      </c>
      <c r="I340" s="1" t="s">
        <v>1175</v>
      </c>
      <c r="J340" s="1" t="s">
        <v>1635</v>
      </c>
      <c r="K340" s="1" t="s">
        <v>587</v>
      </c>
      <c r="L340" s="1" t="s">
        <v>8</v>
      </c>
      <c r="M340" s="5">
        <v>2371.1999999999998</v>
      </c>
      <c r="N340" s="6">
        <v>44256</v>
      </c>
      <c r="O340" s="6">
        <v>44561</v>
      </c>
      <c r="P340" s="1" t="s">
        <v>1674</v>
      </c>
    </row>
    <row r="341" spans="1:16" hidden="1">
      <c r="A341" s="4">
        <v>424</v>
      </c>
      <c r="B341" s="2" t="str">
        <f>HYPERLINK("https://my.zakupki.prom.ua/remote/dispatcher/state_purchase_view/23867135", "UA-2021-02-10-007583-a")</f>
        <v>UA-2021-02-10-007583-a</v>
      </c>
      <c r="C341" s="2" t="s">
        <v>1276</v>
      </c>
      <c r="D341" s="2" t="str">
        <f>HYPERLINK("https://my.zakupki.prom.ua/remote/dispatcher/state_contracting_view/7602016", "UA-2021-02-10-007583-a-a1")</f>
        <v>UA-2021-02-10-007583-a-a1</v>
      </c>
      <c r="E341" s="1" t="s">
        <v>836</v>
      </c>
      <c r="F341" s="1" t="s">
        <v>1081</v>
      </c>
      <c r="G341" s="1" t="s">
        <v>1081</v>
      </c>
      <c r="H341" s="1" t="s">
        <v>778</v>
      </c>
      <c r="I341" s="1" t="s">
        <v>1175</v>
      </c>
      <c r="J341" s="1" t="s">
        <v>1294</v>
      </c>
      <c r="K341" s="1" t="s">
        <v>293</v>
      </c>
      <c r="L341" s="1" t="s">
        <v>131</v>
      </c>
      <c r="M341" s="5">
        <v>6000</v>
      </c>
      <c r="N341" s="6">
        <v>44237</v>
      </c>
      <c r="O341" s="6">
        <v>44561</v>
      </c>
      <c r="P341" s="1" t="s">
        <v>1676</v>
      </c>
    </row>
    <row r="342" spans="1:16" hidden="1">
      <c r="A342" s="4">
        <v>425</v>
      </c>
      <c r="B342" s="2" t="str">
        <f>HYPERLINK("https://my.zakupki.prom.ua/remote/dispatcher/state_purchase_view/24449431", "UA-2021-02-26-008834-a")</f>
        <v>UA-2021-02-26-008834-a</v>
      </c>
      <c r="C342" s="2" t="s">
        <v>1276</v>
      </c>
      <c r="D342" s="2" t="str">
        <f>HYPERLINK("https://my.zakupki.prom.ua/remote/dispatcher/state_contracting_view/7874238", "UA-2021-02-26-008834-a-a1")</f>
        <v>UA-2021-02-26-008834-a-a1</v>
      </c>
      <c r="E342" s="1" t="s">
        <v>745</v>
      </c>
      <c r="F342" s="1" t="s">
        <v>1328</v>
      </c>
      <c r="G342" s="1" t="s">
        <v>1328</v>
      </c>
      <c r="H342" s="1" t="s">
        <v>757</v>
      </c>
      <c r="I342" s="1" t="s">
        <v>1175</v>
      </c>
      <c r="J342" s="1" t="s">
        <v>1217</v>
      </c>
      <c r="K342" s="1" t="s">
        <v>522</v>
      </c>
      <c r="L342" s="1" t="s">
        <v>528</v>
      </c>
      <c r="M342" s="5">
        <v>2735</v>
      </c>
      <c r="N342" s="6">
        <v>44253</v>
      </c>
      <c r="O342" s="6">
        <v>44561</v>
      </c>
      <c r="P342" s="1" t="s">
        <v>1674</v>
      </c>
    </row>
    <row r="343" spans="1:16" hidden="1">
      <c r="A343" s="4">
        <v>426</v>
      </c>
      <c r="B343" s="2" t="str">
        <f>HYPERLINK("https://my.zakupki.prom.ua/remote/dispatcher/state_purchase_view/25128550", "UA-2021-03-22-008879-c")</f>
        <v>UA-2021-03-22-008879-c</v>
      </c>
      <c r="C343" s="2" t="s">
        <v>1276</v>
      </c>
      <c r="D343" s="2" t="str">
        <f>HYPERLINK("https://my.zakupki.prom.ua/remote/dispatcher/state_contracting_view/8202033", "UA-2021-03-22-008879-c-c1")</f>
        <v>UA-2021-03-22-008879-c-c1</v>
      </c>
      <c r="E343" s="1" t="s">
        <v>1000</v>
      </c>
      <c r="F343" s="1" t="s">
        <v>1402</v>
      </c>
      <c r="G343" s="1" t="s">
        <v>1402</v>
      </c>
      <c r="H343" s="1" t="s">
        <v>458</v>
      </c>
      <c r="I343" s="1" t="s">
        <v>1175</v>
      </c>
      <c r="J343" s="1" t="s">
        <v>1107</v>
      </c>
      <c r="K343" s="1" t="s">
        <v>339</v>
      </c>
      <c r="L343" s="1" t="s">
        <v>278</v>
      </c>
      <c r="M343" s="5">
        <v>1670</v>
      </c>
      <c r="N343" s="6">
        <v>44277</v>
      </c>
      <c r="O343" s="6">
        <v>44561</v>
      </c>
      <c r="P343" s="1" t="s">
        <v>1674</v>
      </c>
    </row>
    <row r="344" spans="1:16" hidden="1">
      <c r="A344" s="4">
        <v>427</v>
      </c>
      <c r="B344" s="2" t="str">
        <f>HYPERLINK("https://my.zakupki.prom.ua/remote/dispatcher/state_purchase_view/25083088", "UA-2021-03-19-003601-a")</f>
        <v>UA-2021-03-19-003601-a</v>
      </c>
      <c r="C344" s="2" t="s">
        <v>1276</v>
      </c>
      <c r="D344" s="2" t="str">
        <f>HYPERLINK("https://my.zakupki.prom.ua/remote/dispatcher/state_contracting_view/8180132", "UA-2021-03-19-003601-a-a1")</f>
        <v>UA-2021-03-19-003601-a-a1</v>
      </c>
      <c r="E344" s="1" t="s">
        <v>431</v>
      </c>
      <c r="F344" s="1" t="s">
        <v>1501</v>
      </c>
      <c r="G344" s="1" t="s">
        <v>1501</v>
      </c>
      <c r="H344" s="1" t="s">
        <v>611</v>
      </c>
      <c r="I344" s="1" t="s">
        <v>1175</v>
      </c>
      <c r="J344" s="1" t="s">
        <v>1673</v>
      </c>
      <c r="K344" s="1" t="s">
        <v>375</v>
      </c>
      <c r="L344" s="1" t="s">
        <v>246</v>
      </c>
      <c r="M344" s="5">
        <v>53</v>
      </c>
      <c r="N344" s="6">
        <v>44273</v>
      </c>
      <c r="O344" s="6">
        <v>44561</v>
      </c>
      <c r="P344" s="1" t="s">
        <v>1674</v>
      </c>
    </row>
    <row r="345" spans="1:16" hidden="1">
      <c r="A345" s="4">
        <v>428</v>
      </c>
      <c r="B345" s="2" t="str">
        <f>HYPERLINK("https://my.zakupki.prom.ua/remote/dispatcher/state_purchase_view/26790625", "UA-2021-05-21-014438-b")</f>
        <v>UA-2021-05-21-014438-b</v>
      </c>
      <c r="C345" s="2" t="s">
        <v>1276</v>
      </c>
      <c r="D345" s="2" t="str">
        <f>HYPERLINK("https://my.zakupki.prom.ua/remote/dispatcher/state_contracting_view/9043748", "UA-2021-05-21-014438-b-b1")</f>
        <v>UA-2021-05-21-014438-b-b1</v>
      </c>
      <c r="E345" s="1" t="s">
        <v>676</v>
      </c>
      <c r="F345" s="1" t="s">
        <v>1283</v>
      </c>
      <c r="G345" s="1" t="s">
        <v>1283</v>
      </c>
      <c r="H345" s="1" t="s">
        <v>742</v>
      </c>
      <c r="I345" s="1" t="s">
        <v>1175</v>
      </c>
      <c r="J345" s="1" t="s">
        <v>1196</v>
      </c>
      <c r="K345" s="1" t="s">
        <v>468</v>
      </c>
      <c r="L345" s="1" t="s">
        <v>845</v>
      </c>
      <c r="M345" s="5">
        <v>1.2</v>
      </c>
      <c r="N345" s="6">
        <v>44336</v>
      </c>
      <c r="O345" s="6">
        <v>44561</v>
      </c>
      <c r="P345" s="1" t="s">
        <v>1674</v>
      </c>
    </row>
    <row r="346" spans="1:16" hidden="1">
      <c r="A346" s="4">
        <v>429</v>
      </c>
      <c r="B346" s="2" t="str">
        <f>HYPERLINK("https://my.zakupki.prom.ua/remote/dispatcher/state_purchase_view/25670798", "UA-2021-04-09-000296-a")</f>
        <v>UA-2021-04-09-000296-a</v>
      </c>
      <c r="C346" s="2" t="s">
        <v>1276</v>
      </c>
      <c r="D346" s="2" t="str">
        <f>HYPERLINK("https://my.zakupki.prom.ua/remote/dispatcher/state_contracting_view/8456228", "UA-2021-04-09-000296-a-a1")</f>
        <v>UA-2021-04-09-000296-a-a1</v>
      </c>
      <c r="E346" s="1" t="s">
        <v>1029</v>
      </c>
      <c r="F346" s="1" t="s">
        <v>1425</v>
      </c>
      <c r="G346" s="1" t="s">
        <v>1425</v>
      </c>
      <c r="H346" s="1" t="s">
        <v>625</v>
      </c>
      <c r="I346" s="1" t="s">
        <v>1175</v>
      </c>
      <c r="J346" s="1" t="s">
        <v>1089</v>
      </c>
      <c r="K346" s="1" t="s">
        <v>341</v>
      </c>
      <c r="L346" s="1" t="s">
        <v>62</v>
      </c>
      <c r="M346" s="5">
        <v>71</v>
      </c>
      <c r="N346" s="6">
        <v>44293</v>
      </c>
      <c r="O346" s="6">
        <v>44561</v>
      </c>
      <c r="P346" s="1" t="s">
        <v>1674</v>
      </c>
    </row>
    <row r="347" spans="1:16" hidden="1">
      <c r="A347" s="4">
        <v>430</v>
      </c>
      <c r="B347" s="2" t="str">
        <f>HYPERLINK("https://my.zakupki.prom.ua/remote/dispatcher/state_purchase_view/26491582", "UA-2021-05-13-005061-c")</f>
        <v>UA-2021-05-13-005061-c</v>
      </c>
      <c r="C347" s="2" t="s">
        <v>1276</v>
      </c>
      <c r="D347" s="2" t="str">
        <f>HYPERLINK("https://my.zakupki.prom.ua/remote/dispatcher/state_contracting_view/9118721", "UA-2021-05-13-005061-c-b1")</f>
        <v>UA-2021-05-13-005061-c-b1</v>
      </c>
      <c r="E347" s="1" t="s">
        <v>662</v>
      </c>
      <c r="F347" s="1" t="s">
        <v>1319</v>
      </c>
      <c r="G347" s="1" t="s">
        <v>1319</v>
      </c>
      <c r="H347" s="1" t="s">
        <v>758</v>
      </c>
      <c r="I347" s="1" t="s">
        <v>1610</v>
      </c>
      <c r="J347" s="1" t="s">
        <v>1656</v>
      </c>
      <c r="K347" s="1" t="s">
        <v>407</v>
      </c>
      <c r="L347" s="1" t="s">
        <v>59</v>
      </c>
      <c r="M347" s="5">
        <v>56689.96</v>
      </c>
      <c r="N347" s="6">
        <v>44347</v>
      </c>
      <c r="O347" s="6">
        <v>44561</v>
      </c>
      <c r="P347" s="1" t="s">
        <v>1676</v>
      </c>
    </row>
    <row r="348" spans="1:16" hidden="1">
      <c r="A348" s="4">
        <v>431</v>
      </c>
      <c r="B348" s="2" t="str">
        <f>HYPERLINK("https://my.zakupki.prom.ua/remote/dispatcher/state_purchase_view/25887745", "UA-2021-04-16-002640-b")</f>
        <v>UA-2021-04-16-002640-b</v>
      </c>
      <c r="C348" s="2" t="s">
        <v>1276</v>
      </c>
      <c r="D348" s="2" t="str">
        <f>HYPERLINK("https://my.zakupki.prom.ua/remote/dispatcher/state_contracting_view/8559547", "UA-2021-04-16-002640-b-b1")</f>
        <v>UA-2021-04-16-002640-b-b1</v>
      </c>
      <c r="E348" s="1" t="s">
        <v>569</v>
      </c>
      <c r="F348" s="1" t="s">
        <v>1469</v>
      </c>
      <c r="G348" s="1" t="s">
        <v>1469</v>
      </c>
      <c r="H348" s="1" t="s">
        <v>460</v>
      </c>
      <c r="I348" s="1" t="s">
        <v>1175</v>
      </c>
      <c r="J348" s="1" t="s">
        <v>1202</v>
      </c>
      <c r="K348" s="1" t="s">
        <v>289</v>
      </c>
      <c r="L348" s="1" t="s">
        <v>184</v>
      </c>
      <c r="M348" s="5">
        <v>429</v>
      </c>
      <c r="N348" s="6">
        <v>44301</v>
      </c>
      <c r="O348" s="6">
        <v>44561</v>
      </c>
      <c r="P348" s="1" t="s">
        <v>1674</v>
      </c>
    </row>
    <row r="349" spans="1:16" hidden="1">
      <c r="A349" s="4">
        <v>432</v>
      </c>
      <c r="B349" s="2" t="str">
        <f>HYPERLINK("https://my.zakupki.prom.ua/remote/dispatcher/state_purchase_view/25463147", "UA-2021-04-01-005835-b")</f>
        <v>UA-2021-04-01-005835-b</v>
      </c>
      <c r="C349" s="2" t="s">
        <v>1276</v>
      </c>
      <c r="D349" s="2" t="str">
        <f>HYPERLINK("https://my.zakupki.prom.ua/remote/dispatcher/state_contracting_view/8357610", "UA-2021-04-01-005835-b-b1")</f>
        <v>UA-2021-04-01-005835-b-b1</v>
      </c>
      <c r="E349" s="1" t="s">
        <v>982</v>
      </c>
      <c r="F349" s="1" t="s">
        <v>1403</v>
      </c>
      <c r="G349" s="1" t="s">
        <v>1403</v>
      </c>
      <c r="H349" s="1" t="s">
        <v>481</v>
      </c>
      <c r="I349" s="1" t="s">
        <v>1175</v>
      </c>
      <c r="J349" s="1" t="s">
        <v>1665</v>
      </c>
      <c r="K349" s="1" t="s">
        <v>394</v>
      </c>
      <c r="L349" s="1" t="s">
        <v>226</v>
      </c>
      <c r="M349" s="5">
        <v>1065</v>
      </c>
      <c r="N349" s="6">
        <v>44287</v>
      </c>
      <c r="O349" s="6">
        <v>44561</v>
      </c>
      <c r="P349" s="1" t="s">
        <v>1674</v>
      </c>
    </row>
    <row r="350" spans="1:16" hidden="1">
      <c r="A350" s="4">
        <v>433</v>
      </c>
      <c r="B350" s="2" t="str">
        <f>HYPERLINK("https://my.zakupki.prom.ua/remote/dispatcher/state_purchase_view/32649574", "UA-2021-12-06-015214-c")</f>
        <v>UA-2021-12-06-015214-c</v>
      </c>
      <c r="C350" s="2" t="s">
        <v>1276</v>
      </c>
      <c r="D350" s="2" t="str">
        <f>HYPERLINK("https://my.zakupki.prom.ua/remote/dispatcher/state_contracting_view/11718857", "UA-2021-12-06-015214-c-c1")</f>
        <v>UA-2021-12-06-015214-c-c1</v>
      </c>
      <c r="E350" s="1" t="s">
        <v>787</v>
      </c>
      <c r="F350" s="1" t="s">
        <v>1467</v>
      </c>
      <c r="G350" s="1" t="s">
        <v>1467</v>
      </c>
      <c r="H350" s="1" t="s">
        <v>625</v>
      </c>
      <c r="I350" s="1" t="s">
        <v>1175</v>
      </c>
      <c r="J350" s="1" t="s">
        <v>1202</v>
      </c>
      <c r="K350" s="1" t="s">
        <v>289</v>
      </c>
      <c r="L350" s="1" t="s">
        <v>851</v>
      </c>
      <c r="M350" s="5">
        <v>72.5</v>
      </c>
      <c r="N350" s="6">
        <v>44533</v>
      </c>
      <c r="O350" s="6">
        <v>44561</v>
      </c>
      <c r="P350" s="1" t="s">
        <v>1674</v>
      </c>
    </row>
    <row r="351" spans="1:16" hidden="1">
      <c r="A351" s="4">
        <v>434</v>
      </c>
      <c r="B351" s="2" t="str">
        <f>HYPERLINK("https://my.zakupki.prom.ua/remote/dispatcher/state_purchase_view/32652627", "UA-2021-12-06-016011-c")</f>
        <v>UA-2021-12-06-016011-c</v>
      </c>
      <c r="C351" s="2" t="s">
        <v>1276</v>
      </c>
      <c r="D351" s="2" t="str">
        <f>HYPERLINK("https://my.zakupki.prom.ua/remote/dispatcher/state_contracting_view/11720093", "UA-2021-12-06-016011-c-c1")</f>
        <v>UA-2021-12-06-016011-c-c1</v>
      </c>
      <c r="E351" s="1" t="s">
        <v>780</v>
      </c>
      <c r="F351" s="1" t="s">
        <v>1459</v>
      </c>
      <c r="G351" s="1" t="s">
        <v>1459</v>
      </c>
      <c r="H351" s="1" t="s">
        <v>471</v>
      </c>
      <c r="I351" s="1" t="s">
        <v>1175</v>
      </c>
      <c r="J351" s="1" t="s">
        <v>1202</v>
      </c>
      <c r="K351" s="1" t="s">
        <v>289</v>
      </c>
      <c r="L351" s="1" t="s">
        <v>850</v>
      </c>
      <c r="M351" s="5">
        <v>554</v>
      </c>
      <c r="N351" s="6">
        <v>44533</v>
      </c>
      <c r="O351" s="6">
        <v>44561</v>
      </c>
      <c r="P351" s="1" t="s">
        <v>1674</v>
      </c>
    </row>
    <row r="352" spans="1:16" hidden="1">
      <c r="A352" s="4">
        <v>435</v>
      </c>
      <c r="B352" s="2" t="str">
        <f>HYPERLINK("https://my.zakupki.prom.ua/remote/dispatcher/state_purchase_view/32651783", "UA-2021-12-06-015792-c")</f>
        <v>UA-2021-12-06-015792-c</v>
      </c>
      <c r="C352" s="2" t="s">
        <v>1276</v>
      </c>
      <c r="D352" s="2" t="str">
        <f>HYPERLINK("https://my.zakupki.prom.ua/remote/dispatcher/state_contracting_view/11719750", "UA-2021-12-06-015792-c-c1")</f>
        <v>UA-2021-12-06-015792-c-c1</v>
      </c>
      <c r="E352" s="1" t="s">
        <v>1051</v>
      </c>
      <c r="F352" s="1" t="s">
        <v>1465</v>
      </c>
      <c r="G352" s="1" t="s">
        <v>1465</v>
      </c>
      <c r="H352" s="1" t="s">
        <v>460</v>
      </c>
      <c r="I352" s="1" t="s">
        <v>1175</v>
      </c>
      <c r="J352" s="1" t="s">
        <v>1202</v>
      </c>
      <c r="K352" s="1" t="s">
        <v>289</v>
      </c>
      <c r="L352" s="1" t="s">
        <v>851</v>
      </c>
      <c r="M352" s="5">
        <v>23</v>
      </c>
      <c r="N352" s="6">
        <v>44533</v>
      </c>
      <c r="O352" s="6">
        <v>44561</v>
      </c>
      <c r="P352" s="1" t="s">
        <v>1674</v>
      </c>
    </row>
    <row r="353" spans="1:16" hidden="1">
      <c r="A353" s="4">
        <v>436</v>
      </c>
      <c r="B353" s="2" t="str">
        <f>HYPERLINK("https://my.zakupki.prom.ua/remote/dispatcher/state_purchase_view/32654911", "UA-2021-12-06-016686-c")</f>
        <v>UA-2021-12-06-016686-c</v>
      </c>
      <c r="C353" s="2" t="s">
        <v>1276</v>
      </c>
      <c r="D353" s="2" t="str">
        <f>HYPERLINK("https://my.zakupki.prom.ua/remote/dispatcher/state_contracting_view/11721366", "UA-2021-12-06-016686-c-c1")</f>
        <v>UA-2021-12-06-016686-c-c1</v>
      </c>
      <c r="E353" s="1" t="s">
        <v>529</v>
      </c>
      <c r="F353" s="1" t="s">
        <v>1460</v>
      </c>
      <c r="G353" s="1" t="s">
        <v>1460</v>
      </c>
      <c r="H353" s="1" t="s">
        <v>460</v>
      </c>
      <c r="I353" s="1" t="s">
        <v>1175</v>
      </c>
      <c r="J353" s="1" t="s">
        <v>1202</v>
      </c>
      <c r="K353" s="1" t="s">
        <v>289</v>
      </c>
      <c r="L353" s="1" t="s">
        <v>850</v>
      </c>
      <c r="M353" s="5">
        <v>262.5</v>
      </c>
      <c r="N353" s="6">
        <v>44533</v>
      </c>
      <c r="O353" s="6">
        <v>44561</v>
      </c>
      <c r="P353" s="1" t="s">
        <v>1674</v>
      </c>
    </row>
    <row r="354" spans="1:16" hidden="1">
      <c r="A354" s="4">
        <v>437</v>
      </c>
      <c r="B354" s="2" t="str">
        <f>HYPERLINK("https://my.zakupki.prom.ua/remote/dispatcher/state_purchase_view/33019323", "UA-2021-12-13-018615-c")</f>
        <v>UA-2021-12-13-018615-c</v>
      </c>
      <c r="C354" s="2" t="s">
        <v>1276</v>
      </c>
      <c r="D354" s="2" t="str">
        <f>HYPERLINK("https://my.zakupki.prom.ua/remote/dispatcher/state_contracting_view/11893334", "UA-2021-12-13-018615-c-c1")</f>
        <v>UA-2021-12-13-018615-c-c1</v>
      </c>
      <c r="E354" s="1" t="s">
        <v>654</v>
      </c>
      <c r="F354" s="1" t="s">
        <v>1386</v>
      </c>
      <c r="G354" s="1" t="s">
        <v>1386</v>
      </c>
      <c r="H354" s="1" t="s">
        <v>499</v>
      </c>
      <c r="I354" s="1" t="s">
        <v>1175</v>
      </c>
      <c r="J354" s="1" t="s">
        <v>1148</v>
      </c>
      <c r="K354" s="1" t="s">
        <v>296</v>
      </c>
      <c r="L354" s="1" t="s">
        <v>686</v>
      </c>
      <c r="M354" s="5">
        <v>596.12</v>
      </c>
      <c r="N354" s="6">
        <v>44543</v>
      </c>
      <c r="O354" s="6">
        <v>44561</v>
      </c>
      <c r="P354" s="1" t="s">
        <v>1674</v>
      </c>
    </row>
    <row r="355" spans="1:16" hidden="1">
      <c r="A355" s="4">
        <v>438</v>
      </c>
      <c r="B355" s="2" t="str">
        <f>HYPERLINK("https://my.zakupki.prom.ua/remote/dispatcher/state_purchase_view/31906511", "UA-2021-11-17-012391-a")</f>
        <v>UA-2021-11-17-012391-a</v>
      </c>
      <c r="C355" s="2" t="s">
        <v>1276</v>
      </c>
      <c r="D355" s="2" t="str">
        <f>HYPERLINK("https://my.zakupki.prom.ua/remote/dispatcher/state_contracting_view/11377405", "UA-2021-11-17-012391-a-a1")</f>
        <v>UA-2021-11-17-012391-a-a1</v>
      </c>
      <c r="E355" s="1" t="s">
        <v>1046</v>
      </c>
      <c r="F355" s="1" t="s">
        <v>1580</v>
      </c>
      <c r="G355" s="1" t="s">
        <v>1580</v>
      </c>
      <c r="H355" s="1" t="s">
        <v>717</v>
      </c>
      <c r="I355" s="1" t="s">
        <v>1175</v>
      </c>
      <c r="J355" s="1" t="s">
        <v>1290</v>
      </c>
      <c r="K355" s="1" t="s">
        <v>333</v>
      </c>
      <c r="L355" s="1" t="s">
        <v>16</v>
      </c>
      <c r="M355" s="5">
        <v>150</v>
      </c>
      <c r="N355" s="6">
        <v>44516</v>
      </c>
      <c r="O355" s="6">
        <v>44561</v>
      </c>
      <c r="P355" s="1" t="s">
        <v>1674</v>
      </c>
    </row>
    <row r="356" spans="1:16" hidden="1">
      <c r="A356" s="4">
        <v>439</v>
      </c>
      <c r="B356" s="2" t="str">
        <f>HYPERLINK("https://my.zakupki.prom.ua/remote/dispatcher/state_purchase_view/30229703", "UA-2021-09-24-011972-b")</f>
        <v>UA-2021-09-24-011972-b</v>
      </c>
      <c r="C356" s="2" t="s">
        <v>1276</v>
      </c>
      <c r="D356" s="2" t="str">
        <f>HYPERLINK("https://my.zakupki.prom.ua/remote/dispatcher/state_contracting_view/10606423", "UA-2021-09-24-011972-b-b1")</f>
        <v>UA-2021-09-24-011972-b-b1</v>
      </c>
      <c r="E356" s="1" t="s">
        <v>268</v>
      </c>
      <c r="F356" s="1" t="s">
        <v>1647</v>
      </c>
      <c r="G356" s="1" t="s">
        <v>1647</v>
      </c>
      <c r="H356" s="1" t="s">
        <v>660</v>
      </c>
      <c r="I356" s="1" t="s">
        <v>1175</v>
      </c>
      <c r="J356" s="1" t="s">
        <v>1203</v>
      </c>
      <c r="K356" s="1" t="s">
        <v>379</v>
      </c>
      <c r="L356" s="1" t="s">
        <v>139</v>
      </c>
      <c r="M356" s="5">
        <v>1650</v>
      </c>
      <c r="N356" s="6">
        <v>44461</v>
      </c>
      <c r="O356" s="6">
        <v>44561</v>
      </c>
      <c r="P356" s="1" t="s">
        <v>1674</v>
      </c>
    </row>
    <row r="357" spans="1:16" hidden="1">
      <c r="A357" s="4">
        <v>440</v>
      </c>
      <c r="B357" s="2" t="str">
        <f>HYPERLINK("https://my.zakupki.prom.ua/remote/dispatcher/state_purchase_view/32317443", "UA-2021-11-29-001128-c")</f>
        <v>UA-2021-11-29-001128-c</v>
      </c>
      <c r="C357" s="2" t="s">
        <v>1276</v>
      </c>
      <c r="D357" s="2" t="str">
        <f>HYPERLINK("https://my.zakupki.prom.ua/remote/dispatcher/state_contracting_view/11565575", "UA-2021-11-29-001128-c-c1")</f>
        <v>UA-2021-11-29-001128-c-c1</v>
      </c>
      <c r="E357" s="1" t="s">
        <v>781</v>
      </c>
      <c r="F357" s="1" t="s">
        <v>1512</v>
      </c>
      <c r="G357" s="1" t="s">
        <v>1512</v>
      </c>
      <c r="H357" s="1" t="s">
        <v>500</v>
      </c>
      <c r="I357" s="1" t="s">
        <v>1175</v>
      </c>
      <c r="J357" s="1" t="s">
        <v>1212</v>
      </c>
      <c r="K357" s="1" t="s">
        <v>448</v>
      </c>
      <c r="L357" s="1" t="s">
        <v>725</v>
      </c>
      <c r="M357" s="5">
        <v>308</v>
      </c>
      <c r="N357" s="6">
        <v>44525</v>
      </c>
      <c r="O357" s="6">
        <v>44561</v>
      </c>
      <c r="P357" s="1" t="s">
        <v>1674</v>
      </c>
    </row>
    <row r="358" spans="1:16" hidden="1">
      <c r="A358" s="4">
        <v>441</v>
      </c>
      <c r="B358" s="2" t="str">
        <f>HYPERLINK("https://my.zakupki.prom.ua/remote/dispatcher/state_purchase_view/32317038", "UA-2021-11-29-001002-c")</f>
        <v>UA-2021-11-29-001002-c</v>
      </c>
      <c r="C358" s="2" t="s">
        <v>1276</v>
      </c>
      <c r="D358" s="2" t="str">
        <f>HYPERLINK("https://my.zakupki.prom.ua/remote/dispatcher/state_contracting_view/11565325", "UA-2021-11-29-001002-c-c1")</f>
        <v>UA-2021-11-29-001002-c-c1</v>
      </c>
      <c r="E358" s="1" t="s">
        <v>181</v>
      </c>
      <c r="F358" s="1" t="s">
        <v>1522</v>
      </c>
      <c r="G358" s="1" t="s">
        <v>1522</v>
      </c>
      <c r="H358" s="1" t="s">
        <v>444</v>
      </c>
      <c r="I358" s="1" t="s">
        <v>1175</v>
      </c>
      <c r="J358" s="1" t="s">
        <v>1138</v>
      </c>
      <c r="K358" s="1" t="s">
        <v>383</v>
      </c>
      <c r="L358" s="1" t="s">
        <v>475</v>
      </c>
      <c r="M358" s="5">
        <v>215</v>
      </c>
      <c r="N358" s="6">
        <v>44525</v>
      </c>
      <c r="O358" s="6">
        <v>44561</v>
      </c>
      <c r="P358" s="1" t="s">
        <v>1674</v>
      </c>
    </row>
    <row r="359" spans="1:16" hidden="1">
      <c r="A359" s="4">
        <v>442</v>
      </c>
      <c r="B359" s="2" t="str">
        <f>HYPERLINK("https://my.zakupki.prom.ua/remote/dispatcher/state_purchase_view/32581384", "UA-2021-12-03-015691-c")</f>
        <v>UA-2021-12-03-015691-c</v>
      </c>
      <c r="C359" s="2" t="s">
        <v>1276</v>
      </c>
      <c r="D359" s="2" t="str">
        <f>HYPERLINK("https://my.zakupki.prom.ua/remote/dispatcher/state_contracting_view/11687524", "UA-2021-12-03-015691-c-c1")</f>
        <v>UA-2021-12-03-015691-c-c1</v>
      </c>
      <c r="E359" s="1" t="s">
        <v>539</v>
      </c>
      <c r="F359" s="1" t="s">
        <v>1583</v>
      </c>
      <c r="G359" s="1" t="s">
        <v>1583</v>
      </c>
      <c r="H359" s="1" t="s">
        <v>719</v>
      </c>
      <c r="I359" s="1" t="s">
        <v>1175</v>
      </c>
      <c r="J359" s="1" t="s">
        <v>1290</v>
      </c>
      <c r="K359" s="1" t="s">
        <v>333</v>
      </c>
      <c r="L359" s="1" t="s">
        <v>154</v>
      </c>
      <c r="M359" s="5">
        <v>218.71</v>
      </c>
      <c r="N359" s="6">
        <v>44533</v>
      </c>
      <c r="O359" s="6">
        <v>44533</v>
      </c>
      <c r="P359" s="1" t="s">
        <v>1674</v>
      </c>
    </row>
    <row r="360" spans="1:16" hidden="1">
      <c r="A360" s="4">
        <v>443</v>
      </c>
      <c r="B360" s="2" t="str">
        <f>HYPERLINK("https://my.zakupki.prom.ua/remote/dispatcher/state_purchase_view/26212275", "UA-2021-04-28-001668-b")</f>
        <v>UA-2021-04-28-001668-b</v>
      </c>
      <c r="C360" s="2" t="s">
        <v>1276</v>
      </c>
      <c r="D360" s="2" t="str">
        <f>HYPERLINK("https://my.zakupki.prom.ua/remote/dispatcher/state_contracting_view/8716277", "UA-2021-04-28-001668-b-b1")</f>
        <v>UA-2021-04-28-001668-b-b1</v>
      </c>
      <c r="E360" s="1" t="s">
        <v>944</v>
      </c>
      <c r="F360" s="1" t="s">
        <v>1581</v>
      </c>
      <c r="G360" s="1" t="s">
        <v>1581</v>
      </c>
      <c r="H360" s="1" t="s">
        <v>718</v>
      </c>
      <c r="I360" s="1" t="s">
        <v>1175</v>
      </c>
      <c r="J360" s="1" t="s">
        <v>1290</v>
      </c>
      <c r="K360" s="1" t="s">
        <v>333</v>
      </c>
      <c r="L360" s="1" t="s">
        <v>160</v>
      </c>
      <c r="M360" s="5">
        <v>160</v>
      </c>
      <c r="N360" s="6">
        <v>44312</v>
      </c>
      <c r="O360" s="6">
        <v>44468</v>
      </c>
      <c r="P360" s="1" t="s">
        <v>1674</v>
      </c>
    </row>
    <row r="361" spans="1:16" hidden="1">
      <c r="A361" s="4">
        <v>444</v>
      </c>
      <c r="B361" s="2" t="str">
        <f>HYPERLINK("https://my.zakupki.prom.ua/remote/dispatcher/state_purchase_view/24083020", "UA-2021-02-17-000170-a")</f>
        <v>UA-2021-02-17-000170-a</v>
      </c>
      <c r="C361" s="2" t="s">
        <v>1276</v>
      </c>
      <c r="D361" s="2" t="str">
        <f>HYPERLINK("https://my.zakupki.prom.ua/remote/dispatcher/state_contracting_view/7701167", "UA-2021-02-17-000170-a-a1")</f>
        <v>UA-2021-02-17-000170-a-a1</v>
      </c>
      <c r="E361" s="1" t="s">
        <v>643</v>
      </c>
      <c r="F361" s="1" t="s">
        <v>1179</v>
      </c>
      <c r="G361" s="1" t="s">
        <v>1179</v>
      </c>
      <c r="H361" s="1" t="s">
        <v>586</v>
      </c>
      <c r="I361" s="1" t="s">
        <v>1175</v>
      </c>
      <c r="J361" s="1" t="s">
        <v>1659</v>
      </c>
      <c r="K361" s="1" t="s">
        <v>425</v>
      </c>
      <c r="L361" s="1" t="s">
        <v>207</v>
      </c>
      <c r="M361" s="5">
        <v>3300</v>
      </c>
      <c r="N361" s="6">
        <v>44243</v>
      </c>
      <c r="O361" s="6">
        <v>44461</v>
      </c>
      <c r="P361" s="1" t="s">
        <v>1676</v>
      </c>
    </row>
    <row r="362" spans="1:16" hidden="1">
      <c r="A362" s="4">
        <v>445</v>
      </c>
      <c r="B362" s="2" t="str">
        <f>HYPERLINK("https://my.zakupki.prom.ua/remote/dispatcher/state_purchase_view/25328252", "UA-2021-03-29-000478-a")</f>
        <v>UA-2021-03-29-000478-a</v>
      </c>
      <c r="C362" s="2" t="s">
        <v>1276</v>
      </c>
      <c r="D362" s="2" t="str">
        <f>HYPERLINK("https://my.zakupki.prom.ua/remote/dispatcher/state_contracting_view/8293062", "UA-2021-03-29-000478-a-a1")</f>
        <v>UA-2021-03-29-000478-a-a1</v>
      </c>
      <c r="E362" s="1" t="s">
        <v>945</v>
      </c>
      <c r="F362" s="1" t="s">
        <v>1319</v>
      </c>
      <c r="G362" s="1" t="s">
        <v>1319</v>
      </c>
      <c r="H362" s="1" t="s">
        <v>758</v>
      </c>
      <c r="I362" s="1" t="s">
        <v>1175</v>
      </c>
      <c r="J362" s="1" t="s">
        <v>1170</v>
      </c>
      <c r="K362" s="1" t="s">
        <v>407</v>
      </c>
      <c r="L362" s="1" t="s">
        <v>36</v>
      </c>
      <c r="M362" s="5">
        <v>7601.46</v>
      </c>
      <c r="N362" s="6">
        <v>44280</v>
      </c>
      <c r="O362" s="6">
        <v>44286</v>
      </c>
      <c r="P362" s="1" t="s">
        <v>1674</v>
      </c>
    </row>
    <row r="363" spans="1:16" hidden="1">
      <c r="A363" s="4">
        <v>446</v>
      </c>
      <c r="B363" s="2" t="str">
        <f>HYPERLINK("https://my.zakupki.prom.ua/remote/dispatcher/state_purchase_view/25328850", "UA-2021-03-29-000636-a")</f>
        <v>UA-2021-03-29-000636-a</v>
      </c>
      <c r="C363" s="2" t="s">
        <v>1276</v>
      </c>
      <c r="D363" s="2" t="str">
        <f>HYPERLINK("https://my.zakupki.prom.ua/remote/dispatcher/state_contracting_view/8293194", "UA-2021-03-29-000636-a-a1")</f>
        <v>UA-2021-03-29-000636-a-a1</v>
      </c>
      <c r="E363" s="1" t="s">
        <v>970</v>
      </c>
      <c r="F363" s="1" t="s">
        <v>1334</v>
      </c>
      <c r="G363" s="1" t="s">
        <v>1334</v>
      </c>
      <c r="H363" s="1" t="s">
        <v>659</v>
      </c>
      <c r="I363" s="1" t="s">
        <v>1175</v>
      </c>
      <c r="J363" s="1" t="s">
        <v>1170</v>
      </c>
      <c r="K363" s="1" t="s">
        <v>407</v>
      </c>
      <c r="L363" s="1" t="s">
        <v>35</v>
      </c>
      <c r="M363" s="5">
        <v>16129.14</v>
      </c>
      <c r="N363" s="6">
        <v>44280</v>
      </c>
      <c r="O363" s="6">
        <v>44286</v>
      </c>
      <c r="P363" s="1" t="s">
        <v>1674</v>
      </c>
    </row>
    <row r="364" spans="1:16" hidden="1">
      <c r="A364" s="4">
        <v>447</v>
      </c>
      <c r="B364" s="2" t="str">
        <f>HYPERLINK("https://my.zakupki.prom.ua/remote/dispatcher/state_purchase_view/25382905", "UA-2021-03-30-002042-a")</f>
        <v>UA-2021-03-30-002042-a</v>
      </c>
      <c r="C364" s="2" t="s">
        <v>1276</v>
      </c>
      <c r="D364" s="2" t="str">
        <f>HYPERLINK("https://my.zakupki.prom.ua/remote/dispatcher/state_contracting_view/8320198", "UA-2021-03-30-002042-a-a1")</f>
        <v>UA-2021-03-30-002042-a-a1</v>
      </c>
      <c r="E364" s="1" t="s">
        <v>814</v>
      </c>
      <c r="F364" s="1" t="s">
        <v>1553</v>
      </c>
      <c r="G364" s="1" t="s">
        <v>1553</v>
      </c>
      <c r="H364" s="1" t="s">
        <v>658</v>
      </c>
      <c r="I364" s="1" t="s">
        <v>1175</v>
      </c>
      <c r="J364" s="1" t="s">
        <v>1625</v>
      </c>
      <c r="K364" s="1" t="s">
        <v>508</v>
      </c>
      <c r="L364" s="1" t="s">
        <v>37</v>
      </c>
      <c r="M364" s="5">
        <v>5082</v>
      </c>
      <c r="N364" s="6">
        <v>44280</v>
      </c>
      <c r="O364" s="6">
        <v>44286</v>
      </c>
      <c r="P364" s="1" t="s">
        <v>1674</v>
      </c>
    </row>
    <row r="365" spans="1:16" hidden="1">
      <c r="A365" s="4">
        <v>448</v>
      </c>
      <c r="B365" s="2" t="str">
        <f>HYPERLINK("https://my.zakupki.prom.ua/remote/dispatcher/state_purchase_view/25043642", "UA-2021-03-18-008507-a")</f>
        <v>UA-2021-03-18-008507-a</v>
      </c>
      <c r="C365" s="2" t="s">
        <v>1276</v>
      </c>
      <c r="D365" s="2" t="str">
        <f>HYPERLINK("https://my.zakupki.prom.ua/remote/dispatcher/state_contracting_view/8162370", "UA-2021-03-18-008507-a-a1")</f>
        <v>UA-2021-03-18-008507-a-a1</v>
      </c>
      <c r="E365" s="1" t="s">
        <v>948</v>
      </c>
      <c r="F365" s="1" t="s">
        <v>1450</v>
      </c>
      <c r="G365" s="1" t="s">
        <v>1450</v>
      </c>
      <c r="H365" s="1" t="s">
        <v>361</v>
      </c>
      <c r="I365" s="1" t="s">
        <v>1175</v>
      </c>
      <c r="J365" s="1" t="s">
        <v>1202</v>
      </c>
      <c r="K365" s="1" t="s">
        <v>289</v>
      </c>
      <c r="L365" s="1" t="s">
        <v>224</v>
      </c>
      <c r="M365" s="5">
        <v>80</v>
      </c>
      <c r="N365" s="6">
        <v>44273</v>
      </c>
      <c r="O365" s="6">
        <v>44273</v>
      </c>
      <c r="P365" s="1" t="s">
        <v>1674</v>
      </c>
    </row>
    <row r="366" spans="1:16" hidden="1">
      <c r="A366" s="4">
        <v>449</v>
      </c>
      <c r="B366" s="2" t="str">
        <f>HYPERLINK("https://my.zakupki.prom.ua/remote/dispatcher/state_purchase_view/23793224", "UA-2021-02-09-001358-a")</f>
        <v>UA-2021-02-09-001358-a</v>
      </c>
      <c r="C366" s="2" t="s">
        <v>1276</v>
      </c>
      <c r="D366" s="2" t="str">
        <f>HYPERLINK("https://my.zakupki.prom.ua/remote/dispatcher/state_contracting_view/7568198", "UA-2021-02-09-001358-a-a1")</f>
        <v>UA-2021-02-09-001358-a-a1</v>
      </c>
      <c r="E366" s="1" t="s">
        <v>1056</v>
      </c>
      <c r="F366" s="1" t="s">
        <v>1227</v>
      </c>
      <c r="G366" s="1" t="s">
        <v>1227</v>
      </c>
      <c r="H366" s="1" t="s">
        <v>666</v>
      </c>
      <c r="I366" s="1" t="s">
        <v>1175</v>
      </c>
      <c r="J366" s="1" t="s">
        <v>1170</v>
      </c>
      <c r="K366" s="1" t="s">
        <v>407</v>
      </c>
      <c r="L366" s="1" t="s">
        <v>26</v>
      </c>
      <c r="M366" s="5">
        <v>21584.04</v>
      </c>
      <c r="N366" s="6">
        <v>44231</v>
      </c>
      <c r="O366" s="6">
        <v>44256</v>
      </c>
      <c r="P366" s="1" t="s">
        <v>1674</v>
      </c>
    </row>
    <row r="367" spans="1:16" hidden="1">
      <c r="A367" s="4">
        <v>450</v>
      </c>
      <c r="B367" s="2" t="str">
        <f>HYPERLINK("https://my.zakupki.prom.ua/remote/dispatcher/state_purchase_view/23791916", "UA-2021-02-09-000988-a")</f>
        <v>UA-2021-02-09-000988-a</v>
      </c>
      <c r="C367" s="2" t="s">
        <v>1276</v>
      </c>
      <c r="D367" s="2" t="str">
        <f>HYPERLINK("https://my.zakupki.prom.ua/remote/dispatcher/state_contracting_view/7567984", "UA-2021-02-09-000988-a-a1")</f>
        <v>UA-2021-02-09-000988-a-a1</v>
      </c>
      <c r="E367" s="1" t="s">
        <v>1039</v>
      </c>
      <c r="F367" s="1" t="s">
        <v>1228</v>
      </c>
      <c r="G367" s="1" t="s">
        <v>1228</v>
      </c>
      <c r="H367" s="1" t="s">
        <v>666</v>
      </c>
      <c r="I367" s="1" t="s">
        <v>1175</v>
      </c>
      <c r="J367" s="1" t="s">
        <v>1170</v>
      </c>
      <c r="K367" s="1" t="s">
        <v>407</v>
      </c>
      <c r="L367" s="1" t="s">
        <v>25</v>
      </c>
      <c r="M367" s="5">
        <v>16647.2</v>
      </c>
      <c r="N367" s="6">
        <v>44231</v>
      </c>
      <c r="O367" s="6">
        <v>44256</v>
      </c>
      <c r="P367" s="1" t="s">
        <v>1674</v>
      </c>
    </row>
    <row r="368" spans="1:16" hidden="1">
      <c r="A368" s="4">
        <v>451</v>
      </c>
      <c r="B368" s="2" t="str">
        <f>HYPERLINK("https://my.zakupki.prom.ua/remote/dispatcher/state_purchase_view/23796627", "UA-2021-02-09-002339-a")</f>
        <v>UA-2021-02-09-002339-a</v>
      </c>
      <c r="C368" s="2" t="s">
        <v>1276</v>
      </c>
      <c r="D368" s="2" t="str">
        <f>HYPERLINK("https://my.zakupki.prom.ua/remote/dispatcher/state_contracting_view/7570362", "UA-2021-02-09-002339-a-a1")</f>
        <v>UA-2021-02-09-002339-a-a1</v>
      </c>
      <c r="E368" s="1" t="s">
        <v>869</v>
      </c>
      <c r="F368" s="1" t="s">
        <v>1229</v>
      </c>
      <c r="G368" s="1" t="s">
        <v>1229</v>
      </c>
      <c r="H368" s="1" t="s">
        <v>666</v>
      </c>
      <c r="I368" s="1" t="s">
        <v>1175</v>
      </c>
      <c r="J368" s="1" t="s">
        <v>1170</v>
      </c>
      <c r="K368" s="1" t="s">
        <v>407</v>
      </c>
      <c r="L368" s="1" t="s">
        <v>27</v>
      </c>
      <c r="M368" s="5">
        <v>30221.17</v>
      </c>
      <c r="N368" s="6">
        <v>44231</v>
      </c>
      <c r="O368" s="6">
        <v>44256</v>
      </c>
      <c r="P368" s="1" t="s">
        <v>1674</v>
      </c>
    </row>
    <row r="369" spans="1:16" hidden="1">
      <c r="A369" s="4">
        <v>452</v>
      </c>
      <c r="B369" s="2" t="str">
        <f>HYPERLINK("https://my.zakupki.prom.ua/remote/dispatcher/state_purchase_view/23036026", "UA-2021-01-18-005634-a")</f>
        <v>UA-2021-01-18-005634-a</v>
      </c>
      <c r="C369" s="2" t="s">
        <v>1276</v>
      </c>
      <c r="D369" s="2" t="str">
        <f>HYPERLINK("https://my.zakupki.prom.ua/remote/dispatcher/state_contracting_view/7248881", "UA-2021-01-18-005634-a-a1")</f>
        <v>UA-2021-01-18-005634-a-a1</v>
      </c>
      <c r="E369" s="1" t="s">
        <v>272</v>
      </c>
      <c r="F369" s="1" t="s">
        <v>1334</v>
      </c>
      <c r="G369" s="1" t="s">
        <v>1334</v>
      </c>
      <c r="H369" s="1" t="s">
        <v>659</v>
      </c>
      <c r="I369" s="1" t="s">
        <v>1175</v>
      </c>
      <c r="J369" s="1" t="s">
        <v>1170</v>
      </c>
      <c r="K369" s="1" t="s">
        <v>407</v>
      </c>
      <c r="L369" s="1" t="s">
        <v>9</v>
      </c>
      <c r="M369" s="5">
        <v>33669.480000000003</v>
      </c>
      <c r="N369" s="6">
        <v>44210</v>
      </c>
      <c r="O369" s="6">
        <v>44255</v>
      </c>
      <c r="P369" s="1" t="s">
        <v>1674</v>
      </c>
    </row>
    <row r="370" spans="1:16" hidden="1">
      <c r="A370" s="4">
        <v>453</v>
      </c>
      <c r="B370" s="2" t="str">
        <f>HYPERLINK("https://my.zakupki.prom.ua/remote/dispatcher/state_purchase_view/23036598", "UA-2021-01-18-005766-a")</f>
        <v>UA-2021-01-18-005766-a</v>
      </c>
      <c r="C370" s="2" t="s">
        <v>1276</v>
      </c>
      <c r="D370" s="2" t="str">
        <f>HYPERLINK("https://my.zakupki.prom.ua/remote/dispatcher/state_contracting_view/7249075", "UA-2021-01-18-005766-a-a1")</f>
        <v>UA-2021-01-18-005766-a-a1</v>
      </c>
      <c r="E370" s="1" t="s">
        <v>1001</v>
      </c>
      <c r="F370" s="1" t="s">
        <v>1319</v>
      </c>
      <c r="G370" s="1" t="s">
        <v>1319</v>
      </c>
      <c r="H370" s="1" t="s">
        <v>758</v>
      </c>
      <c r="I370" s="1" t="s">
        <v>1175</v>
      </c>
      <c r="J370" s="1" t="s">
        <v>1170</v>
      </c>
      <c r="K370" s="1" t="s">
        <v>407</v>
      </c>
      <c r="L370" s="1" t="s">
        <v>10</v>
      </c>
      <c r="M370" s="5">
        <v>15202.92</v>
      </c>
      <c r="N370" s="6">
        <v>44210</v>
      </c>
      <c r="O370" s="6">
        <v>44255</v>
      </c>
      <c r="P370" s="1" t="s">
        <v>1674</v>
      </c>
    </row>
    <row r="371" spans="1:16" hidden="1">
      <c r="A371" s="4">
        <v>454</v>
      </c>
      <c r="B371" s="2" t="str">
        <f>HYPERLINK("https://my.zakupki.prom.ua/remote/dispatcher/state_purchase_view/23067633", "UA-2021-01-19-002460-b")</f>
        <v>UA-2021-01-19-002460-b</v>
      </c>
      <c r="C371" s="2" t="s">
        <v>1276</v>
      </c>
      <c r="D371" s="2" t="str">
        <f>HYPERLINK("https://my.zakupki.prom.ua/remote/dispatcher/state_contracting_view/7260386", "UA-2021-01-19-002460-b-b1")</f>
        <v>UA-2021-01-19-002460-b-b1</v>
      </c>
      <c r="E371" s="1" t="s">
        <v>418</v>
      </c>
      <c r="F371" s="1" t="s">
        <v>1552</v>
      </c>
      <c r="G371" s="1" t="s">
        <v>1552</v>
      </c>
      <c r="H371" s="1" t="s">
        <v>658</v>
      </c>
      <c r="I371" s="1" t="s">
        <v>1175</v>
      </c>
      <c r="J371" s="1" t="s">
        <v>1625</v>
      </c>
      <c r="K371" s="1" t="s">
        <v>508</v>
      </c>
      <c r="L371" s="1" t="s">
        <v>195</v>
      </c>
      <c r="M371" s="5">
        <v>15246</v>
      </c>
      <c r="N371" s="6">
        <v>44211</v>
      </c>
      <c r="O371" s="6">
        <v>44255</v>
      </c>
      <c r="P371" s="1" t="s">
        <v>1674</v>
      </c>
    </row>
    <row r="372" spans="1:16" hidden="1">
      <c r="A372" s="4">
        <v>455</v>
      </c>
      <c r="B372" s="2" t="str">
        <f>HYPERLINK("https://my.zakupki.prom.ua/remote/dispatcher/state_purchase_view/16574117", "UA-2020-05-06-004130-b")</f>
        <v>UA-2020-05-06-004130-b</v>
      </c>
      <c r="C372" s="2" t="s">
        <v>1276</v>
      </c>
      <c r="D372" s="2" t="str">
        <f>HYPERLINK("https://my.zakupki.prom.ua/remote/dispatcher/state_contracting_view/4242485", "UA-2020-05-06-004130-b-b1")</f>
        <v>UA-2020-05-06-004130-b-b1</v>
      </c>
      <c r="E372" s="1" t="s">
        <v>931</v>
      </c>
      <c r="F372" s="1" t="s">
        <v>1366</v>
      </c>
      <c r="G372" s="1" t="s">
        <v>1366</v>
      </c>
      <c r="H372" s="1" t="s">
        <v>466</v>
      </c>
      <c r="I372" s="1" t="s">
        <v>1175</v>
      </c>
      <c r="J372" s="1" t="s">
        <v>1192</v>
      </c>
      <c r="K372" s="1" t="s">
        <v>251</v>
      </c>
      <c r="L372" s="1" t="s">
        <v>53</v>
      </c>
      <c r="M372" s="5">
        <v>3982</v>
      </c>
      <c r="N372" s="6">
        <v>43956</v>
      </c>
      <c r="O372" s="6">
        <v>44196</v>
      </c>
      <c r="P372" s="1" t="s">
        <v>1674</v>
      </c>
    </row>
    <row r="373" spans="1:16" hidden="1">
      <c r="A373" s="4">
        <v>456</v>
      </c>
      <c r="B373" s="2" t="str">
        <f>HYPERLINK("https://my.zakupki.prom.ua/remote/dispatcher/state_purchase_view/17616603", "UA-2020-07-02-007725-a")</f>
        <v>UA-2020-07-02-007725-a</v>
      </c>
      <c r="C373" s="2" t="s">
        <v>1276</v>
      </c>
      <c r="D373" s="2" t="str">
        <f>HYPERLINK("https://my.zakupki.prom.ua/remote/dispatcher/state_contracting_view/4707129", "UA-2020-07-02-007725-a-a1")</f>
        <v>UA-2020-07-02-007725-a-a1</v>
      </c>
      <c r="E373" s="1" t="s">
        <v>808</v>
      </c>
      <c r="F373" s="1" t="s">
        <v>1306</v>
      </c>
      <c r="G373" s="1" t="s">
        <v>1105</v>
      </c>
      <c r="H373" s="1" t="s">
        <v>257</v>
      </c>
      <c r="I373" s="1" t="s">
        <v>1175</v>
      </c>
      <c r="J373" s="1" t="s">
        <v>1210</v>
      </c>
      <c r="K373" s="1" t="s">
        <v>289</v>
      </c>
      <c r="L373" s="1" t="s">
        <v>71</v>
      </c>
      <c r="M373" s="5">
        <v>78</v>
      </c>
      <c r="N373" s="6">
        <v>44013</v>
      </c>
      <c r="O373" s="6">
        <v>44196</v>
      </c>
      <c r="P373" s="1" t="s">
        <v>1674</v>
      </c>
    </row>
    <row r="374" spans="1:16" hidden="1">
      <c r="A374" s="4">
        <v>457</v>
      </c>
      <c r="B374" s="2" t="str">
        <f>HYPERLINK("https://my.zakupki.prom.ua/remote/dispatcher/state_purchase_view/17105693", "UA-2020-06-09-001957-b")</f>
        <v>UA-2020-06-09-001957-b</v>
      </c>
      <c r="C374" s="2" t="s">
        <v>1276</v>
      </c>
      <c r="D374" s="2" t="str">
        <f>HYPERLINK("https://my.zakupki.prom.ua/remote/dispatcher/state_contracting_view/4471166", "UA-2020-06-09-001957-b-b1")</f>
        <v>UA-2020-06-09-001957-b-b1</v>
      </c>
      <c r="E374" s="1" t="s">
        <v>934</v>
      </c>
      <c r="F374" s="1" t="s">
        <v>1302</v>
      </c>
      <c r="G374" s="1" t="s">
        <v>1302</v>
      </c>
      <c r="H374" s="1" t="s">
        <v>441</v>
      </c>
      <c r="I374" s="1" t="s">
        <v>1175</v>
      </c>
      <c r="J374" s="1" t="s">
        <v>1191</v>
      </c>
      <c r="K374" s="1" t="s">
        <v>377</v>
      </c>
      <c r="L374" s="1" t="s">
        <v>64</v>
      </c>
      <c r="M374" s="5">
        <v>10438</v>
      </c>
      <c r="N374" s="6">
        <v>43991</v>
      </c>
      <c r="O374" s="6">
        <v>44196</v>
      </c>
      <c r="P374" s="1" t="s">
        <v>1674</v>
      </c>
    </row>
    <row r="375" spans="1:16" hidden="1">
      <c r="A375" s="4">
        <v>458</v>
      </c>
      <c r="B375" s="2" t="str">
        <f>HYPERLINK("https://my.zakupki.prom.ua/remote/dispatcher/state_purchase_view/22688454", "UA-2020-12-26-000134-c")</f>
        <v>UA-2020-12-26-000134-c</v>
      </c>
      <c r="C375" s="2" t="s">
        <v>1276</v>
      </c>
      <c r="D375" s="2" t="str">
        <f>HYPERLINK("https://my.zakupki.prom.ua/remote/dispatcher/state_contracting_view/7108256", "UA-2020-12-26-000134-c-c1")</f>
        <v>UA-2020-12-26-000134-c-c1</v>
      </c>
      <c r="E375" s="1" t="s">
        <v>861</v>
      </c>
      <c r="F375" s="1" t="s">
        <v>1224</v>
      </c>
      <c r="G375" s="1" t="s">
        <v>1225</v>
      </c>
      <c r="H375" s="1" t="s">
        <v>494</v>
      </c>
      <c r="I375" s="1" t="s">
        <v>1175</v>
      </c>
      <c r="J375" s="1" t="s">
        <v>1192</v>
      </c>
      <c r="K375" s="1" t="s">
        <v>251</v>
      </c>
      <c r="L375" s="1" t="s">
        <v>169</v>
      </c>
      <c r="M375" s="5">
        <v>285</v>
      </c>
      <c r="N375" s="6">
        <v>44189</v>
      </c>
      <c r="O375" s="6">
        <v>44196</v>
      </c>
      <c r="P375" s="1" t="s">
        <v>1674</v>
      </c>
    </row>
    <row r="376" spans="1:16" hidden="1">
      <c r="A376" s="4">
        <v>459</v>
      </c>
      <c r="B376" s="2" t="str">
        <f>HYPERLINK("https://my.zakupki.prom.ua/remote/dispatcher/state_purchase_view/22688561", "UA-2020-12-26-000178-c")</f>
        <v>UA-2020-12-26-000178-c</v>
      </c>
      <c r="C376" s="2" t="s">
        <v>1276</v>
      </c>
      <c r="D376" s="2" t="str">
        <f>HYPERLINK("https://my.zakupki.prom.ua/remote/dispatcher/state_contracting_view/7108291", "UA-2020-12-26-000178-c-c1")</f>
        <v>UA-2020-12-26-000178-c-c1</v>
      </c>
      <c r="E376" s="1" t="s">
        <v>651</v>
      </c>
      <c r="F376" s="1" t="s">
        <v>1285</v>
      </c>
      <c r="G376" s="1" t="s">
        <v>1285</v>
      </c>
      <c r="H376" s="1" t="s">
        <v>550</v>
      </c>
      <c r="I376" s="1" t="s">
        <v>1175</v>
      </c>
      <c r="J376" s="1" t="s">
        <v>1192</v>
      </c>
      <c r="K376" s="1" t="s">
        <v>251</v>
      </c>
      <c r="L376" s="1" t="s">
        <v>168</v>
      </c>
      <c r="M376" s="5">
        <v>1248</v>
      </c>
      <c r="N376" s="6">
        <v>44189</v>
      </c>
      <c r="O376" s="6">
        <v>44196</v>
      </c>
      <c r="P376" s="1" t="s">
        <v>1674</v>
      </c>
    </row>
    <row r="377" spans="1:16" hidden="1">
      <c r="A377" s="4">
        <v>460</v>
      </c>
      <c r="B377" s="2" t="str">
        <f>HYPERLINK("https://my.zakupki.prom.ua/remote/dispatcher/state_purchase_view/19398746", "UA-2020-09-18-004296-a")</f>
        <v>UA-2020-09-18-004296-a</v>
      </c>
      <c r="C377" s="2" t="s">
        <v>1276</v>
      </c>
      <c r="D377" s="2" t="str">
        <f>HYPERLINK("https://my.zakupki.prom.ua/remote/dispatcher/state_contracting_view/5561676", "UA-2020-09-18-004296-a-a1")</f>
        <v>UA-2020-09-18-004296-a-a1</v>
      </c>
      <c r="E377" s="1" t="s">
        <v>784</v>
      </c>
      <c r="F377" s="1" t="s">
        <v>1263</v>
      </c>
      <c r="G377" s="1" t="s">
        <v>1263</v>
      </c>
      <c r="H377" s="1" t="s">
        <v>655</v>
      </c>
      <c r="I377" s="1" t="s">
        <v>1175</v>
      </c>
      <c r="J377" s="1" t="s">
        <v>1138</v>
      </c>
      <c r="K377" s="1" t="s">
        <v>383</v>
      </c>
      <c r="L377" s="1" t="s">
        <v>94</v>
      </c>
      <c r="M377" s="5">
        <v>9000</v>
      </c>
      <c r="N377" s="6">
        <v>44091</v>
      </c>
      <c r="O377" s="6">
        <v>44196</v>
      </c>
      <c r="P377" s="1" t="s">
        <v>1674</v>
      </c>
    </row>
    <row r="378" spans="1:16" hidden="1">
      <c r="A378" s="4">
        <v>461</v>
      </c>
      <c r="B378" s="2" t="str">
        <f>HYPERLINK("https://my.zakupki.prom.ua/remote/dispatcher/state_purchase_view/20324313", "UA-2020-10-21-009458-a")</f>
        <v>UA-2020-10-21-009458-a</v>
      </c>
      <c r="C378" s="2" t="s">
        <v>1276</v>
      </c>
      <c r="D378" s="2" t="str">
        <f>HYPERLINK("https://my.zakupki.prom.ua/remote/dispatcher/state_contracting_view/5983242", "UA-2020-10-21-009458-a-a1")</f>
        <v>UA-2020-10-21-009458-a-a1</v>
      </c>
      <c r="E378" s="1" t="s">
        <v>878</v>
      </c>
      <c r="F378" s="1" t="s">
        <v>1124</v>
      </c>
      <c r="G378" s="1" t="s">
        <v>1124</v>
      </c>
      <c r="H378" s="1" t="s">
        <v>480</v>
      </c>
      <c r="I378" s="1" t="s">
        <v>1175</v>
      </c>
      <c r="J378" s="1" t="s">
        <v>1626</v>
      </c>
      <c r="K378" s="1" t="s">
        <v>597</v>
      </c>
      <c r="L378" s="1" t="s">
        <v>250</v>
      </c>
      <c r="M378" s="5">
        <v>31292.400000000001</v>
      </c>
      <c r="N378" s="6">
        <v>44120</v>
      </c>
      <c r="O378" s="6">
        <v>44196</v>
      </c>
      <c r="P378" s="1" t="s">
        <v>1674</v>
      </c>
    </row>
    <row r="379" spans="1:16" hidden="1">
      <c r="A379" s="4">
        <v>462</v>
      </c>
      <c r="B379" s="2" t="str">
        <f>HYPERLINK("https://my.zakupki.prom.ua/remote/dispatcher/state_purchase_view/22340618", "UA-2020-12-17-017673-c")</f>
        <v>UA-2020-12-17-017673-c</v>
      </c>
      <c r="C379" s="2" t="s">
        <v>1276</v>
      </c>
      <c r="D379" s="2" t="str">
        <f>HYPERLINK("https://my.zakupki.prom.ua/remote/dispatcher/state_contracting_view/6938748", "UA-2020-12-17-017673-c-c1")</f>
        <v>UA-2020-12-17-017673-c-c1</v>
      </c>
      <c r="E379" s="1" t="s">
        <v>588</v>
      </c>
      <c r="F379" s="1" t="s">
        <v>1183</v>
      </c>
      <c r="G379" s="1" t="s">
        <v>1184</v>
      </c>
      <c r="H379" s="1" t="s">
        <v>622</v>
      </c>
      <c r="I379" s="1" t="s">
        <v>1175</v>
      </c>
      <c r="J379" s="1" t="s">
        <v>1635</v>
      </c>
      <c r="K379" s="1" t="s">
        <v>587</v>
      </c>
      <c r="L379" s="1" t="s">
        <v>164</v>
      </c>
      <c r="M379" s="5">
        <v>1143</v>
      </c>
      <c r="N379" s="6">
        <v>44180</v>
      </c>
      <c r="O379" s="6">
        <v>44196</v>
      </c>
      <c r="P379" s="1" t="s">
        <v>1674</v>
      </c>
    </row>
    <row r="380" spans="1:16" hidden="1">
      <c r="A380" s="4">
        <v>463</v>
      </c>
      <c r="B380" s="2" t="str">
        <f>HYPERLINK("https://my.zakupki.prom.ua/remote/dispatcher/state_purchase_view/14953144", "UA-2020-01-30-000241-c")</f>
        <v>UA-2020-01-30-000241-c</v>
      </c>
      <c r="C380" s="2" t="s">
        <v>1276</v>
      </c>
      <c r="D380" s="2" t="str">
        <f>HYPERLINK("https://my.zakupki.prom.ua/remote/dispatcher/state_contracting_view/3718904", "UA-2020-01-30-000241-c-c1")</f>
        <v>UA-2020-01-30-000241-c-c1</v>
      </c>
      <c r="E380" s="1" t="s">
        <v>1017</v>
      </c>
      <c r="F380" s="1" t="s">
        <v>1336</v>
      </c>
      <c r="G380" s="1" t="s">
        <v>1338</v>
      </c>
      <c r="H380" s="1" t="s">
        <v>659</v>
      </c>
      <c r="I380" s="1" t="s">
        <v>1175</v>
      </c>
      <c r="J380" s="1" t="s">
        <v>1170</v>
      </c>
      <c r="K380" s="1" t="s">
        <v>407</v>
      </c>
      <c r="L380" s="1" t="s">
        <v>415</v>
      </c>
      <c r="M380" s="5">
        <v>314481.59999999998</v>
      </c>
      <c r="N380" s="6">
        <v>43859</v>
      </c>
      <c r="O380" s="6">
        <v>44196</v>
      </c>
      <c r="P380" s="1" t="s">
        <v>1676</v>
      </c>
    </row>
    <row r="381" spans="1:16" hidden="1">
      <c r="A381" s="4">
        <v>464</v>
      </c>
      <c r="B381" s="2" t="str">
        <f>HYPERLINK("https://my.zakupki.prom.ua/remote/dispatcher/state_purchase_view/22333661", "UA-2020-12-17-015705-c")</f>
        <v>UA-2020-12-17-015705-c</v>
      </c>
      <c r="C381" s="2" t="s">
        <v>1276</v>
      </c>
      <c r="D381" s="2" t="str">
        <f>HYPERLINK("https://my.zakupki.prom.ua/remote/dispatcher/state_contracting_view/6935418", "UA-2020-12-17-015705-c-c1")</f>
        <v>UA-2020-12-17-015705-c-c1</v>
      </c>
      <c r="E381" s="1" t="s">
        <v>567</v>
      </c>
      <c r="F381" s="1" t="s">
        <v>1612</v>
      </c>
      <c r="G381" s="1" t="s">
        <v>1614</v>
      </c>
      <c r="H381" s="1" t="s">
        <v>719</v>
      </c>
      <c r="I381" s="1" t="s">
        <v>1175</v>
      </c>
      <c r="J381" s="1" t="s">
        <v>1288</v>
      </c>
      <c r="K381" s="1" t="s">
        <v>309</v>
      </c>
      <c r="L381" s="1" t="s">
        <v>151</v>
      </c>
      <c r="M381" s="5">
        <v>70</v>
      </c>
      <c r="N381" s="6">
        <v>44179</v>
      </c>
      <c r="O381" s="6">
        <v>44196</v>
      </c>
      <c r="P381" s="1" t="s">
        <v>1674</v>
      </c>
    </row>
    <row r="382" spans="1:16" hidden="1">
      <c r="A382" s="4">
        <v>465</v>
      </c>
      <c r="B382" s="2" t="str">
        <f>HYPERLINK("https://my.zakupki.prom.ua/remote/dispatcher/state_purchase_view/18493058", "UA-2020-08-12-005406-a")</f>
        <v>UA-2020-08-12-005406-a</v>
      </c>
      <c r="C382" s="2" t="s">
        <v>1276</v>
      </c>
      <c r="D382" s="2" t="str">
        <f>HYPERLINK("https://my.zakupki.prom.ua/remote/dispatcher/state_contracting_view/5115604", "UA-2020-08-12-005406-a-a1")</f>
        <v>UA-2020-08-12-005406-a-a1</v>
      </c>
      <c r="E382" s="1" t="s">
        <v>263</v>
      </c>
      <c r="F382" s="1" t="s">
        <v>1370</v>
      </c>
      <c r="G382" s="1" t="s">
        <v>1370</v>
      </c>
      <c r="H382" s="1" t="s">
        <v>607</v>
      </c>
      <c r="I382" s="1" t="s">
        <v>1175</v>
      </c>
      <c r="J382" s="1" t="s">
        <v>1661</v>
      </c>
      <c r="K382" s="1" t="s">
        <v>323</v>
      </c>
      <c r="L382" s="1" t="s">
        <v>84</v>
      </c>
      <c r="M382" s="5">
        <v>5299.42</v>
      </c>
      <c r="N382" s="6">
        <v>44053</v>
      </c>
      <c r="O382" s="6">
        <v>44196</v>
      </c>
      <c r="P382" s="1" t="s">
        <v>1674</v>
      </c>
    </row>
    <row r="383" spans="1:16" hidden="1">
      <c r="A383" s="4">
        <v>466</v>
      </c>
      <c r="B383" s="2" t="str">
        <f>HYPERLINK("https://my.zakupki.prom.ua/remote/dispatcher/state_purchase_view/19071793", "UA-2020-09-07-009250-b")</f>
        <v>UA-2020-09-07-009250-b</v>
      </c>
      <c r="C383" s="2" t="s">
        <v>1276</v>
      </c>
      <c r="D383" s="2" t="str">
        <f>HYPERLINK("https://my.zakupki.prom.ua/remote/dispatcher/state_contracting_view/5390216", "UA-2020-09-07-009250-b-b1")</f>
        <v>UA-2020-09-07-009250-b-b1</v>
      </c>
      <c r="E383" s="1" t="s">
        <v>848</v>
      </c>
      <c r="F383" s="1" t="s">
        <v>1168</v>
      </c>
      <c r="G383" s="1" t="s">
        <v>1169</v>
      </c>
      <c r="H383" s="1" t="s">
        <v>606</v>
      </c>
      <c r="I383" s="1" t="s">
        <v>1175</v>
      </c>
      <c r="J383" s="1" t="s">
        <v>1635</v>
      </c>
      <c r="K383" s="1" t="s">
        <v>587</v>
      </c>
      <c r="L383" s="1" t="s">
        <v>92</v>
      </c>
      <c r="M383" s="5">
        <v>11727</v>
      </c>
      <c r="N383" s="6">
        <v>44077</v>
      </c>
      <c r="O383" s="6">
        <v>44196</v>
      </c>
      <c r="P383" s="1" t="s">
        <v>1674</v>
      </c>
    </row>
    <row r="384" spans="1:16" hidden="1">
      <c r="A384" s="4">
        <v>467</v>
      </c>
      <c r="B384" s="2" t="str">
        <f>HYPERLINK("https://my.zakupki.prom.ua/remote/dispatcher/state_purchase_view/19429391", "UA-2020-09-21-001888-b")</f>
        <v>UA-2020-09-21-001888-b</v>
      </c>
      <c r="C384" s="2" t="s">
        <v>1276</v>
      </c>
      <c r="D384" s="2" t="str">
        <f>HYPERLINK("https://my.zakupki.prom.ua/remote/dispatcher/state_contracting_view/5561518", "UA-2020-09-21-001888-b-b1")</f>
        <v>UA-2020-09-21-001888-b-b1</v>
      </c>
      <c r="E384" s="1" t="s">
        <v>956</v>
      </c>
      <c r="F384" s="1" t="s">
        <v>1343</v>
      </c>
      <c r="G384" s="1" t="s">
        <v>1343</v>
      </c>
      <c r="H384" s="1" t="s">
        <v>718</v>
      </c>
      <c r="I384" s="1" t="s">
        <v>1175</v>
      </c>
      <c r="J384" s="1" t="s">
        <v>1290</v>
      </c>
      <c r="K384" s="1" t="s">
        <v>333</v>
      </c>
      <c r="L384" s="1" t="s">
        <v>159</v>
      </c>
      <c r="M384" s="5">
        <v>1152</v>
      </c>
      <c r="N384" s="6">
        <v>44091</v>
      </c>
      <c r="O384" s="6">
        <v>44196</v>
      </c>
      <c r="P384" s="1" t="s">
        <v>1674</v>
      </c>
    </row>
    <row r="385" spans="1:16" hidden="1">
      <c r="A385" s="4">
        <v>468</v>
      </c>
      <c r="B385" s="2" t="str">
        <f>HYPERLINK("https://my.zakupki.prom.ua/remote/dispatcher/state_purchase_view/16593605", "UA-2020-05-07-004702-b")</f>
        <v>UA-2020-05-07-004702-b</v>
      </c>
      <c r="C385" s="2" t="s">
        <v>1276</v>
      </c>
      <c r="D385" s="2" t="str">
        <f>HYPERLINK("https://my.zakupki.prom.ua/remote/dispatcher/state_contracting_view/4250140", "UA-2020-05-07-004702-b-b1")</f>
        <v>UA-2020-05-07-004702-b-b1</v>
      </c>
      <c r="E385" s="1" t="s">
        <v>704</v>
      </c>
      <c r="F385" s="1" t="s">
        <v>1374</v>
      </c>
      <c r="G385" s="1" t="s">
        <v>1375</v>
      </c>
      <c r="H385" s="1" t="s">
        <v>467</v>
      </c>
      <c r="I385" s="1" t="s">
        <v>1175</v>
      </c>
      <c r="J385" s="1" t="s">
        <v>1212</v>
      </c>
      <c r="K385" s="1" t="s">
        <v>448</v>
      </c>
      <c r="L385" s="1" t="s">
        <v>54</v>
      </c>
      <c r="M385" s="5">
        <v>5934</v>
      </c>
      <c r="N385" s="6">
        <v>43957</v>
      </c>
      <c r="O385" s="6">
        <v>44196</v>
      </c>
      <c r="P385" s="1" t="s">
        <v>1674</v>
      </c>
    </row>
    <row r="386" spans="1:16" hidden="1">
      <c r="A386" s="4">
        <v>469</v>
      </c>
      <c r="B386" s="2" t="str">
        <f>HYPERLINK("https://my.zakupki.prom.ua/remote/dispatcher/state_purchase_view/19664625", "UA-2020-09-28-008300-a")</f>
        <v>UA-2020-09-28-008300-a</v>
      </c>
      <c r="C386" s="2" t="s">
        <v>1276</v>
      </c>
      <c r="D386" s="2" t="str">
        <f>HYPERLINK("https://my.zakupki.prom.ua/remote/dispatcher/state_contracting_view/5671457", "UA-2020-09-28-008300-a-a1")</f>
        <v>UA-2020-09-28-008300-a-a1</v>
      </c>
      <c r="E386" s="1" t="s">
        <v>995</v>
      </c>
      <c r="F386" s="1" t="s">
        <v>1180</v>
      </c>
      <c r="G386" s="1" t="s">
        <v>1180</v>
      </c>
      <c r="H386" s="1" t="s">
        <v>623</v>
      </c>
      <c r="I386" s="1" t="s">
        <v>1175</v>
      </c>
      <c r="J386" s="1" t="s">
        <v>1188</v>
      </c>
      <c r="K386" s="1" t="s">
        <v>477</v>
      </c>
      <c r="L386" s="1" t="s">
        <v>97</v>
      </c>
      <c r="M386" s="5">
        <v>294</v>
      </c>
      <c r="N386" s="6">
        <v>44099</v>
      </c>
      <c r="O386" s="6">
        <v>44196</v>
      </c>
      <c r="P386" s="1" t="s">
        <v>1674</v>
      </c>
    </row>
    <row r="387" spans="1:16" hidden="1">
      <c r="A387" s="4">
        <v>470</v>
      </c>
      <c r="B387" s="2" t="str">
        <f>HYPERLINK("https://my.zakupki.prom.ua/remote/dispatcher/state_purchase_view/17424381", "UA-2020-06-23-000741-c")</f>
        <v>UA-2020-06-23-000741-c</v>
      </c>
      <c r="C387" s="2" t="s">
        <v>1276</v>
      </c>
      <c r="D387" s="2" t="str">
        <f>HYPERLINK("https://my.zakupki.prom.ua/remote/dispatcher/state_contracting_view/4617585", "UA-2020-06-23-000741-c-c1")</f>
        <v>UA-2020-06-23-000741-c-c1</v>
      </c>
      <c r="E387" s="1" t="s">
        <v>258</v>
      </c>
      <c r="F387" s="1" t="s">
        <v>1671</v>
      </c>
      <c r="G387" s="1" t="s">
        <v>1670</v>
      </c>
      <c r="H387" s="1" t="s">
        <v>439</v>
      </c>
      <c r="I387" s="1" t="s">
        <v>1175</v>
      </c>
      <c r="J387" s="1" t="s">
        <v>1108</v>
      </c>
      <c r="K387" s="1" t="s">
        <v>343</v>
      </c>
      <c r="L387" s="1" t="s">
        <v>67</v>
      </c>
      <c r="M387" s="5">
        <v>660</v>
      </c>
      <c r="N387" s="6">
        <v>44001</v>
      </c>
      <c r="O387" s="6">
        <v>44196</v>
      </c>
      <c r="P387" s="1" t="s">
        <v>1674</v>
      </c>
    </row>
    <row r="388" spans="1:16" hidden="1">
      <c r="A388" s="4">
        <v>471</v>
      </c>
      <c r="B388" s="2" t="str">
        <f>HYPERLINK("https://my.zakupki.prom.ua/remote/dispatcher/state_purchase_view/18109585", "UA-2020-07-24-007766-b")</f>
        <v>UA-2020-07-24-007766-b</v>
      </c>
      <c r="C388" s="2" t="s">
        <v>1276</v>
      </c>
      <c r="D388" s="2" t="str">
        <f>HYPERLINK("https://my.zakupki.prom.ua/remote/dispatcher/state_contracting_view/4940691", "UA-2020-07-24-007766-b-b1")</f>
        <v>UA-2020-07-24-007766-b-b1</v>
      </c>
      <c r="E388" s="1" t="s">
        <v>971</v>
      </c>
      <c r="F388" s="1" t="s">
        <v>1272</v>
      </c>
      <c r="G388" s="1" t="s">
        <v>1272</v>
      </c>
      <c r="H388" s="1" t="s">
        <v>793</v>
      </c>
      <c r="I388" s="1" t="s">
        <v>1175</v>
      </c>
      <c r="J388" s="1" t="s">
        <v>1624</v>
      </c>
      <c r="K388" s="1" t="s">
        <v>534</v>
      </c>
      <c r="L388" s="1" t="s">
        <v>754</v>
      </c>
      <c r="M388" s="5">
        <v>1470</v>
      </c>
      <c r="N388" s="6">
        <v>44033</v>
      </c>
      <c r="O388" s="6">
        <v>44196</v>
      </c>
      <c r="P388" s="1" t="s">
        <v>1674</v>
      </c>
    </row>
    <row r="389" spans="1:16" hidden="1">
      <c r="A389" s="4">
        <v>472</v>
      </c>
      <c r="B389" s="2" t="str">
        <f>HYPERLINK("https://my.zakupki.prom.ua/remote/dispatcher/state_purchase_view/22689016", "UA-2020-12-26-000335-c")</f>
        <v>UA-2020-12-26-000335-c</v>
      </c>
      <c r="C389" s="2" t="s">
        <v>1276</v>
      </c>
      <c r="D389" s="2" t="str">
        <f>HYPERLINK("https://my.zakupki.prom.ua/remote/dispatcher/state_contracting_view/7108502", "UA-2020-12-26-000335-c-c1")</f>
        <v>UA-2020-12-26-000335-c-c1</v>
      </c>
      <c r="E389" s="1" t="s">
        <v>1009</v>
      </c>
      <c r="F389" s="1" t="s">
        <v>1118</v>
      </c>
      <c r="G389" s="1" t="s">
        <v>1118</v>
      </c>
      <c r="H389" s="1" t="s">
        <v>658</v>
      </c>
      <c r="I389" s="1" t="s">
        <v>1175</v>
      </c>
      <c r="J389" s="1" t="s">
        <v>1106</v>
      </c>
      <c r="K389" s="1" t="s">
        <v>395</v>
      </c>
      <c r="L389" s="1" t="s">
        <v>320</v>
      </c>
      <c r="M389" s="5">
        <v>31968</v>
      </c>
      <c r="N389" s="6">
        <v>44187</v>
      </c>
      <c r="O389" s="6">
        <v>44196</v>
      </c>
      <c r="P389" s="1" t="s">
        <v>1674</v>
      </c>
    </row>
    <row r="390" spans="1:16" hidden="1">
      <c r="A390" s="4">
        <v>473</v>
      </c>
      <c r="B390" s="2" t="str">
        <f>HYPERLINK("https://my.zakupki.prom.ua/remote/dispatcher/state_purchase_view/21539540", "UA-2020-11-27-009959-b")</f>
        <v>UA-2020-11-27-009959-b</v>
      </c>
      <c r="C390" s="2" t="s">
        <v>1276</v>
      </c>
      <c r="D390" s="2" t="str">
        <f>HYPERLINK("https://my.zakupki.prom.ua/remote/dispatcher/state_contracting_view/6559462", "UA-2020-11-27-009959-b-b1")</f>
        <v>UA-2020-11-27-009959-b-b1</v>
      </c>
      <c r="E390" s="1" t="s">
        <v>809</v>
      </c>
      <c r="F390" s="1" t="s">
        <v>1127</v>
      </c>
      <c r="G390" s="1" t="s">
        <v>1127</v>
      </c>
      <c r="H390" s="1" t="s">
        <v>480</v>
      </c>
      <c r="I390" s="1" t="s">
        <v>1175</v>
      </c>
      <c r="J390" s="1" t="s">
        <v>1626</v>
      </c>
      <c r="K390" s="1" t="s">
        <v>597</v>
      </c>
      <c r="L390" s="1" t="s">
        <v>389</v>
      </c>
      <c r="M390" s="5">
        <v>46098</v>
      </c>
      <c r="N390" s="6">
        <v>44161</v>
      </c>
      <c r="O390" s="6">
        <v>44196</v>
      </c>
      <c r="P390" s="1" t="s">
        <v>1674</v>
      </c>
    </row>
    <row r="391" spans="1:16" hidden="1">
      <c r="A391" s="4">
        <v>474</v>
      </c>
      <c r="B391" s="2" t="str">
        <f>HYPERLINK("https://my.zakupki.prom.ua/remote/dispatcher/state_purchase_view/21934499", "UA-2020-12-09-007339-c")</f>
        <v>UA-2020-12-09-007339-c</v>
      </c>
      <c r="C391" s="2" t="s">
        <v>1276</v>
      </c>
      <c r="D391" s="2" t="str">
        <f>HYPERLINK("https://my.zakupki.prom.ua/remote/dispatcher/state_contracting_view/6743948", "UA-2020-12-09-007339-c-c1")</f>
        <v>UA-2020-12-09-007339-c-c1</v>
      </c>
      <c r="E391" s="1" t="s">
        <v>215</v>
      </c>
      <c r="F391" s="1" t="s">
        <v>1174</v>
      </c>
      <c r="G391" s="1" t="s">
        <v>1174</v>
      </c>
      <c r="H391" s="1" t="s">
        <v>443</v>
      </c>
      <c r="I391" s="1" t="s">
        <v>1175</v>
      </c>
      <c r="J391" s="1" t="s">
        <v>1138</v>
      </c>
      <c r="K391" s="1" t="s">
        <v>383</v>
      </c>
      <c r="L391" s="1" t="s">
        <v>87</v>
      </c>
      <c r="M391" s="5">
        <v>9400</v>
      </c>
      <c r="N391" s="6">
        <v>44173</v>
      </c>
      <c r="O391" s="6">
        <v>44196</v>
      </c>
      <c r="P391" s="1" t="s">
        <v>1674</v>
      </c>
    </row>
    <row r="392" spans="1:16" hidden="1">
      <c r="A392" s="4">
        <v>475</v>
      </c>
      <c r="B392" s="2" t="str">
        <f>HYPERLINK("https://my.zakupki.prom.ua/remote/dispatcher/state_purchase_view/19071362", "UA-2020-09-07-009144-b")</f>
        <v>UA-2020-09-07-009144-b</v>
      </c>
      <c r="C392" s="2" t="s">
        <v>1276</v>
      </c>
      <c r="D392" s="2" t="str">
        <f>HYPERLINK("https://my.zakupki.prom.ua/remote/dispatcher/state_contracting_view/5389946", "UA-2020-09-07-009144-b-b1")</f>
        <v>UA-2020-09-07-009144-b-b1</v>
      </c>
      <c r="E392" s="1" t="s">
        <v>269</v>
      </c>
      <c r="F392" s="1" t="s">
        <v>1136</v>
      </c>
      <c r="G392" s="1" t="s">
        <v>1137</v>
      </c>
      <c r="H392" s="1" t="s">
        <v>615</v>
      </c>
      <c r="I392" s="1" t="s">
        <v>1175</v>
      </c>
      <c r="J392" s="1" t="s">
        <v>1605</v>
      </c>
      <c r="K392" s="1" t="s">
        <v>380</v>
      </c>
      <c r="L392" s="1" t="s">
        <v>93</v>
      </c>
      <c r="M392" s="5">
        <v>5700</v>
      </c>
      <c r="N392" s="6">
        <v>44081</v>
      </c>
      <c r="O392" s="6">
        <v>44196</v>
      </c>
      <c r="P392" s="1" t="s">
        <v>1674</v>
      </c>
    </row>
    <row r="393" spans="1:16" hidden="1">
      <c r="A393" s="4">
        <v>476</v>
      </c>
      <c r="B393" s="2" t="str">
        <f>HYPERLINK("https://my.zakupki.prom.ua/remote/dispatcher/state_purchase_view/16727708", "UA-2020-05-18-005754-c")</f>
        <v>UA-2020-05-18-005754-c</v>
      </c>
      <c r="C393" s="2" t="s">
        <v>1276</v>
      </c>
      <c r="D393" s="2" t="str">
        <f>HYPERLINK("https://my.zakupki.prom.ua/remote/dispatcher/state_contracting_view/4299517", "UA-2020-05-18-005754-c-c1")</f>
        <v>UA-2020-05-18-005754-c-c1</v>
      </c>
      <c r="E393" s="1" t="s">
        <v>111</v>
      </c>
      <c r="F393" s="1" t="s">
        <v>1368</v>
      </c>
      <c r="G393" s="1" t="s">
        <v>1368</v>
      </c>
      <c r="H393" s="1" t="s">
        <v>45</v>
      </c>
      <c r="I393" s="1" t="s">
        <v>1175</v>
      </c>
      <c r="J393" s="1" t="s">
        <v>1668</v>
      </c>
      <c r="K393" s="1" t="s">
        <v>374</v>
      </c>
      <c r="L393" s="1" t="s">
        <v>56</v>
      </c>
      <c r="M393" s="5">
        <v>3776</v>
      </c>
      <c r="N393" s="6">
        <v>43964</v>
      </c>
      <c r="O393" s="6">
        <v>44196</v>
      </c>
      <c r="P393" s="1" t="s">
        <v>1674</v>
      </c>
    </row>
    <row r="394" spans="1:16" hidden="1">
      <c r="A394" s="4">
        <v>477</v>
      </c>
      <c r="B394" s="2" t="str">
        <f>HYPERLINK("https://my.zakupki.prom.ua/remote/dispatcher/state_purchase_view/17112298", "UA-2020-06-09-003674-b")</f>
        <v>UA-2020-06-09-003674-b</v>
      </c>
      <c r="C394" s="2" t="s">
        <v>1276</v>
      </c>
      <c r="D394" s="2" t="str">
        <f>HYPERLINK("https://my.zakupki.prom.ua/remote/dispatcher/state_contracting_view/4474361", "UA-2020-06-09-003674-b-b1")</f>
        <v>UA-2020-06-09-003674-b-b1</v>
      </c>
      <c r="E394" s="1" t="s">
        <v>802</v>
      </c>
      <c r="F394" s="1" t="s">
        <v>1185</v>
      </c>
      <c r="G394" s="1" t="s">
        <v>1186</v>
      </c>
      <c r="H394" s="1" t="s">
        <v>438</v>
      </c>
      <c r="I394" s="1" t="s">
        <v>1175</v>
      </c>
      <c r="J394" s="1" t="s">
        <v>1138</v>
      </c>
      <c r="K394" s="1" t="s">
        <v>383</v>
      </c>
      <c r="L394" s="1" t="s">
        <v>63</v>
      </c>
      <c r="M394" s="5">
        <v>5974</v>
      </c>
      <c r="N394" s="6">
        <v>43991</v>
      </c>
      <c r="O394" s="6">
        <v>44196</v>
      </c>
      <c r="P394" s="1" t="s">
        <v>1674</v>
      </c>
    </row>
    <row r="395" spans="1:16" hidden="1">
      <c r="A395" s="4">
        <v>478</v>
      </c>
      <c r="B395" s="2" t="str">
        <f>HYPERLINK("https://my.zakupki.prom.ua/remote/dispatcher/state_purchase_view/17614967", "UA-2020-07-02-007143-a")</f>
        <v>UA-2020-07-02-007143-a</v>
      </c>
      <c r="C395" s="2" t="s">
        <v>1276</v>
      </c>
      <c r="D395" s="2" t="str">
        <f>HYPERLINK("https://my.zakupki.prom.ua/remote/dispatcher/state_contracting_view/4706604", "UA-2020-07-02-007143-a-a1")</f>
        <v>UA-2020-07-02-007143-a-a1</v>
      </c>
      <c r="E395" s="1" t="s">
        <v>735</v>
      </c>
      <c r="F395" s="1" t="s">
        <v>1608</v>
      </c>
      <c r="G395" s="1" t="s">
        <v>1589</v>
      </c>
      <c r="H395" s="1" t="s">
        <v>467</v>
      </c>
      <c r="I395" s="1" t="s">
        <v>1175</v>
      </c>
      <c r="J395" s="1" t="s">
        <v>1210</v>
      </c>
      <c r="K395" s="1" t="s">
        <v>289</v>
      </c>
      <c r="L395" s="1" t="s">
        <v>71</v>
      </c>
      <c r="M395" s="5">
        <v>691</v>
      </c>
      <c r="N395" s="6">
        <v>44013</v>
      </c>
      <c r="O395" s="6">
        <v>44196</v>
      </c>
      <c r="P395" s="1" t="s">
        <v>1674</v>
      </c>
    </row>
    <row r="396" spans="1:16" hidden="1">
      <c r="A396" s="4">
        <v>479</v>
      </c>
      <c r="B396" s="2" t="str">
        <f>HYPERLINK("https://my.zakupki.prom.ua/remote/dispatcher/state_purchase_view/18102521", "UA-2020-07-24-004897-b")</f>
        <v>UA-2020-07-24-004897-b</v>
      </c>
      <c r="C396" s="2" t="s">
        <v>1276</v>
      </c>
      <c r="D396" s="2" t="str">
        <f>HYPERLINK("https://my.zakupki.prom.ua/remote/dispatcher/state_contracting_view/4935877", "UA-2020-07-24-004897-b-b1")</f>
        <v>UA-2020-07-24-004897-b-b1</v>
      </c>
      <c r="E396" s="1" t="s">
        <v>1006</v>
      </c>
      <c r="F396" s="1" t="s">
        <v>1088</v>
      </c>
      <c r="G396" s="1" t="s">
        <v>1088</v>
      </c>
      <c r="H396" s="1" t="s">
        <v>748</v>
      </c>
      <c r="I396" s="1" t="s">
        <v>1175</v>
      </c>
      <c r="J396" s="1" t="s">
        <v>1590</v>
      </c>
      <c r="K396" s="1" t="s">
        <v>330</v>
      </c>
      <c r="L396" s="1" t="s">
        <v>673</v>
      </c>
      <c r="M396" s="5">
        <v>198.23</v>
      </c>
      <c r="N396" s="6">
        <v>44033</v>
      </c>
      <c r="O396" s="6">
        <v>44196</v>
      </c>
      <c r="P396" s="1" t="s">
        <v>1674</v>
      </c>
    </row>
    <row r="397" spans="1:16" hidden="1">
      <c r="A397" s="4">
        <v>480</v>
      </c>
      <c r="B397" s="2" t="str">
        <f>HYPERLINK("https://my.zakupki.prom.ua/remote/dispatcher/state_purchase_view/22021308", "UA-2020-12-10-015120-c")</f>
        <v>UA-2020-12-10-015120-c</v>
      </c>
      <c r="C397" s="2" t="s">
        <v>1276</v>
      </c>
      <c r="D397" s="2" t="str">
        <f>HYPERLINK("https://my.zakupki.prom.ua/remote/dispatcher/state_contracting_view/6785331", "UA-2020-12-10-015120-c-c1")</f>
        <v>UA-2020-12-10-015120-c-c1</v>
      </c>
      <c r="E397" s="1" t="s">
        <v>963</v>
      </c>
      <c r="F397" s="1" t="s">
        <v>1372</v>
      </c>
      <c r="G397" s="1" t="s">
        <v>1372</v>
      </c>
      <c r="H397" s="1" t="s">
        <v>607</v>
      </c>
      <c r="I397" s="1" t="s">
        <v>1175</v>
      </c>
      <c r="J397" s="1" t="s">
        <v>1090</v>
      </c>
      <c r="K397" s="1" t="s">
        <v>323</v>
      </c>
      <c r="L397" s="1" t="s">
        <v>76</v>
      </c>
      <c r="M397" s="5">
        <v>720</v>
      </c>
      <c r="N397" s="6">
        <v>44172</v>
      </c>
      <c r="O397" s="6">
        <v>44196</v>
      </c>
      <c r="P397" s="1" t="s">
        <v>1674</v>
      </c>
    </row>
    <row r="398" spans="1:16" hidden="1">
      <c r="A398" s="4">
        <v>481</v>
      </c>
      <c r="B398" s="2" t="str">
        <f>HYPERLINK("https://my.zakupki.prom.ua/remote/dispatcher/state_purchase_view/22688456", "UA-2020-12-26-000140-c")</f>
        <v>UA-2020-12-26-000140-c</v>
      </c>
      <c r="C398" s="2" t="s">
        <v>1276</v>
      </c>
      <c r="D398" s="2" t="str">
        <f>HYPERLINK("https://my.zakupki.prom.ua/remote/dispatcher/state_contracting_view/7108265", "UA-2020-12-26-000140-c-c1")</f>
        <v>UA-2020-12-26-000140-c-c1</v>
      </c>
      <c r="E398" s="1" t="s">
        <v>885</v>
      </c>
      <c r="F398" s="1" t="s">
        <v>1173</v>
      </c>
      <c r="G398" s="1" t="s">
        <v>1173</v>
      </c>
      <c r="H398" s="1" t="s">
        <v>358</v>
      </c>
      <c r="I398" s="1" t="s">
        <v>1175</v>
      </c>
      <c r="J398" s="1" t="s">
        <v>1192</v>
      </c>
      <c r="K398" s="1" t="s">
        <v>251</v>
      </c>
      <c r="L398" s="1" t="s">
        <v>169</v>
      </c>
      <c r="M398" s="5">
        <v>578</v>
      </c>
      <c r="N398" s="6">
        <v>44189</v>
      </c>
      <c r="O398" s="6">
        <v>44196</v>
      </c>
      <c r="P398" s="1" t="s">
        <v>1674</v>
      </c>
    </row>
    <row r="399" spans="1:16" hidden="1">
      <c r="A399" s="4">
        <v>482</v>
      </c>
      <c r="B399" s="2" t="str">
        <f>HYPERLINK("https://my.zakupki.prom.ua/remote/dispatcher/state_purchase_view/22359865", "UA-2020-12-18-003684-c")</f>
        <v>UA-2020-12-18-003684-c</v>
      </c>
      <c r="C399" s="2" t="s">
        <v>1276</v>
      </c>
      <c r="D399" s="2" t="str">
        <f>HYPERLINK("https://my.zakupki.prom.ua/remote/dispatcher/state_contracting_view/6948104", "UA-2020-12-18-003684-c-c1")</f>
        <v>UA-2020-12-18-003684-c-c1</v>
      </c>
      <c r="E399" s="1" t="s">
        <v>51</v>
      </c>
      <c r="F399" s="1" t="s">
        <v>1221</v>
      </c>
      <c r="G399" s="1" t="s">
        <v>1222</v>
      </c>
      <c r="H399" s="1" t="s">
        <v>492</v>
      </c>
      <c r="I399" s="1" t="s">
        <v>1175</v>
      </c>
      <c r="J399" s="1" t="s">
        <v>1148</v>
      </c>
      <c r="K399" s="1" t="s">
        <v>296</v>
      </c>
      <c r="L399" s="1" t="s">
        <v>167</v>
      </c>
      <c r="M399" s="5">
        <v>807.97</v>
      </c>
      <c r="N399" s="6">
        <v>44181</v>
      </c>
      <c r="O399" s="6">
        <v>44196</v>
      </c>
      <c r="P399" s="1" t="s">
        <v>1674</v>
      </c>
    </row>
    <row r="400" spans="1:16" hidden="1">
      <c r="A400" s="4">
        <v>483</v>
      </c>
      <c r="B400" s="2" t="str">
        <f>HYPERLINK("https://my.zakupki.prom.ua/remote/dispatcher/state_purchase_view/16826445", "UA-2020-05-22-005848-c")</f>
        <v>UA-2020-05-22-005848-c</v>
      </c>
      <c r="C400" s="2" t="s">
        <v>1276</v>
      </c>
      <c r="D400" s="2" t="str">
        <f>HYPERLINK("https://my.zakupki.prom.ua/remote/dispatcher/state_contracting_view/4344789", "UA-2020-05-22-005848-c-c1")</f>
        <v>UA-2020-05-22-005848-c-c1</v>
      </c>
      <c r="E400" s="1" t="s">
        <v>549</v>
      </c>
      <c r="F400" s="1" t="s">
        <v>1660</v>
      </c>
      <c r="G400" s="1" t="s">
        <v>1660</v>
      </c>
      <c r="H400" s="1" t="s">
        <v>626</v>
      </c>
      <c r="I400" s="1" t="s">
        <v>1175</v>
      </c>
      <c r="J400" s="1" t="s">
        <v>1202</v>
      </c>
      <c r="K400" s="1" t="s">
        <v>289</v>
      </c>
      <c r="L400" s="1" t="s">
        <v>55</v>
      </c>
      <c r="M400" s="5">
        <v>955</v>
      </c>
      <c r="N400" s="6">
        <v>43963</v>
      </c>
      <c r="O400" s="6">
        <v>44196</v>
      </c>
      <c r="P400" s="1" t="s">
        <v>1674</v>
      </c>
    </row>
    <row r="401" spans="1:16" hidden="1">
      <c r="A401" s="4">
        <v>484</v>
      </c>
      <c r="B401" s="2" t="str">
        <f>HYPERLINK("https://my.zakupki.prom.ua/remote/dispatcher/state_purchase_view/17143290", "UA-2020-06-10-006107-b")</f>
        <v>UA-2020-06-10-006107-b</v>
      </c>
      <c r="C401" s="2" t="s">
        <v>1276</v>
      </c>
      <c r="D401" s="2" t="str">
        <f>HYPERLINK("https://my.zakupki.prom.ua/remote/dispatcher/state_contracting_view/4491451", "UA-2020-06-10-006107-b-b1")</f>
        <v>UA-2020-06-10-006107-b-b1</v>
      </c>
      <c r="E401" s="1" t="s">
        <v>640</v>
      </c>
      <c r="F401" s="1" t="s">
        <v>1299</v>
      </c>
      <c r="G401" s="1" t="s">
        <v>1298</v>
      </c>
      <c r="H401" s="1" t="s">
        <v>441</v>
      </c>
      <c r="I401" s="1" t="s">
        <v>1175</v>
      </c>
      <c r="J401" s="1" t="s">
        <v>1076</v>
      </c>
      <c r="K401" s="1" t="s">
        <v>424</v>
      </c>
      <c r="L401" s="1" t="s">
        <v>65</v>
      </c>
      <c r="M401" s="5">
        <v>4500</v>
      </c>
      <c r="N401" s="6">
        <v>43991</v>
      </c>
      <c r="O401" s="6">
        <v>44196</v>
      </c>
      <c r="P401" s="1" t="s">
        <v>1674</v>
      </c>
    </row>
    <row r="402" spans="1:16" hidden="1">
      <c r="A402" s="4">
        <v>485</v>
      </c>
      <c r="B402" s="2" t="str">
        <f>HYPERLINK("https://my.zakupki.prom.ua/remote/dispatcher/state_purchase_view/17324801", "UA-2020-06-18-000449-c")</f>
        <v>UA-2020-06-18-000449-c</v>
      </c>
      <c r="C402" s="2" t="s">
        <v>1276</v>
      </c>
      <c r="D402" s="2" t="str">
        <f>HYPERLINK("https://my.zakupki.prom.ua/remote/dispatcher/state_contracting_view/4571862", "UA-2020-06-18-000449-c-c1")</f>
        <v>UA-2020-06-18-000449-c-c1</v>
      </c>
      <c r="E402" s="1" t="s">
        <v>674</v>
      </c>
      <c r="F402" s="1" t="s">
        <v>1616</v>
      </c>
      <c r="G402" s="1" t="s">
        <v>1617</v>
      </c>
      <c r="H402" s="1" t="s">
        <v>243</v>
      </c>
      <c r="I402" s="1" t="s">
        <v>1175</v>
      </c>
      <c r="J402" s="1" t="s">
        <v>1669</v>
      </c>
      <c r="K402" s="1" t="s">
        <v>496</v>
      </c>
      <c r="L402" s="1" t="s">
        <v>66</v>
      </c>
      <c r="M402" s="5">
        <v>459</v>
      </c>
      <c r="N402" s="6">
        <v>44000</v>
      </c>
      <c r="O402" s="6">
        <v>44196</v>
      </c>
      <c r="P402" s="1" t="s">
        <v>1674</v>
      </c>
    </row>
    <row r="403" spans="1:16" hidden="1">
      <c r="A403" s="4">
        <v>486</v>
      </c>
      <c r="B403" s="2" t="str">
        <f>HYPERLINK("https://my.zakupki.prom.ua/remote/dispatcher/state_purchase_view/17760300", "UA-2020-07-09-002799-c")</f>
        <v>UA-2020-07-09-002799-c</v>
      </c>
      <c r="C403" s="2" t="s">
        <v>1276</v>
      </c>
      <c r="D403" s="2" t="str">
        <f>HYPERLINK("https://my.zakupki.prom.ua/remote/dispatcher/state_contracting_view/4774156", "UA-2020-07-09-002799-c-c1")</f>
        <v>UA-2020-07-09-002799-c-c1</v>
      </c>
      <c r="E403" s="1" t="s">
        <v>908</v>
      </c>
      <c r="F403" s="1" t="s">
        <v>1223</v>
      </c>
      <c r="G403" s="1" t="s">
        <v>1220</v>
      </c>
      <c r="H403" s="1" t="s">
        <v>494</v>
      </c>
      <c r="I403" s="1" t="s">
        <v>1175</v>
      </c>
      <c r="J403" s="1" t="s">
        <v>1192</v>
      </c>
      <c r="K403" s="1" t="s">
        <v>251</v>
      </c>
      <c r="L403" s="1" t="s">
        <v>72</v>
      </c>
      <c r="M403" s="5">
        <v>1420</v>
      </c>
      <c r="N403" s="6">
        <v>44021</v>
      </c>
      <c r="O403" s="6">
        <v>44196</v>
      </c>
      <c r="P403" s="1" t="s">
        <v>1674</v>
      </c>
    </row>
    <row r="404" spans="1:16" hidden="1">
      <c r="A404" s="4">
        <v>487</v>
      </c>
      <c r="B404" s="2" t="str">
        <f>HYPERLINK("https://my.zakupki.prom.ua/remote/dispatcher/state_purchase_view/17982320", "UA-2020-07-20-004798-b")</f>
        <v>UA-2020-07-20-004798-b</v>
      </c>
      <c r="C404" s="2" t="s">
        <v>1276</v>
      </c>
      <c r="D404" s="2" t="str">
        <f>HYPERLINK("https://my.zakupki.prom.ua/remote/dispatcher/state_contracting_view/4877492", "UA-2020-07-20-004798-b-b1")</f>
        <v>UA-2020-07-20-004798-b-b1</v>
      </c>
      <c r="E404" s="1" t="s">
        <v>116</v>
      </c>
      <c r="F404" s="1" t="s">
        <v>1346</v>
      </c>
      <c r="G404" s="1" t="s">
        <v>1335</v>
      </c>
      <c r="H404" s="1" t="s">
        <v>661</v>
      </c>
      <c r="I404" s="1" t="s">
        <v>1175</v>
      </c>
      <c r="J404" s="1" t="s">
        <v>1215</v>
      </c>
      <c r="K404" s="1" t="s">
        <v>3</v>
      </c>
      <c r="L404" s="1" t="s">
        <v>382</v>
      </c>
      <c r="M404" s="5">
        <v>351</v>
      </c>
      <c r="N404" s="6">
        <v>44026</v>
      </c>
      <c r="O404" s="6">
        <v>44196</v>
      </c>
      <c r="P404" s="1" t="s">
        <v>1674</v>
      </c>
    </row>
    <row r="405" spans="1:16" hidden="1">
      <c r="A405" s="4">
        <v>488</v>
      </c>
      <c r="B405" s="2" t="str">
        <f>HYPERLINK("https://my.zakupki.prom.ua/remote/dispatcher/state_purchase_view/17985865", "UA-2020-07-20-005672-b")</f>
        <v>UA-2020-07-20-005672-b</v>
      </c>
      <c r="C405" s="2" t="s">
        <v>1276</v>
      </c>
      <c r="D405" s="2" t="str">
        <f>HYPERLINK("https://my.zakupki.prom.ua/remote/dispatcher/state_contracting_view/4879141", "UA-2020-07-20-005672-b-b1")</f>
        <v>UA-2020-07-20-005672-b-b1</v>
      </c>
      <c r="E405" s="1" t="s">
        <v>898</v>
      </c>
      <c r="F405" s="1" t="s">
        <v>1326</v>
      </c>
      <c r="G405" s="1" t="s">
        <v>1327</v>
      </c>
      <c r="H405" s="1" t="s">
        <v>661</v>
      </c>
      <c r="I405" s="1" t="s">
        <v>1175</v>
      </c>
      <c r="J405" s="1" t="s">
        <v>1215</v>
      </c>
      <c r="K405" s="1" t="s">
        <v>3</v>
      </c>
      <c r="L405" s="1" t="s">
        <v>382</v>
      </c>
      <c r="M405" s="5">
        <v>1509</v>
      </c>
      <c r="N405" s="6">
        <v>44026</v>
      </c>
      <c r="O405" s="6">
        <v>44196</v>
      </c>
      <c r="P405" s="1" t="s">
        <v>1674</v>
      </c>
    </row>
    <row r="406" spans="1:16" hidden="1">
      <c r="A406" s="4">
        <v>489</v>
      </c>
      <c r="B406" s="2" t="str">
        <f>HYPERLINK("https://my.zakupki.prom.ua/remote/dispatcher/state_purchase_view/15237184", "UA-2020-02-12-000552-b")</f>
        <v>UA-2020-02-12-000552-b</v>
      </c>
      <c r="C406" s="2" t="s">
        <v>1276</v>
      </c>
      <c r="D406" s="2" t="str">
        <f>HYPERLINK("https://my.zakupki.prom.ua/remote/dispatcher/state_contracting_view/3787000", "UA-2020-02-12-000552-b-b1")</f>
        <v>UA-2020-02-12-000552-b-b1</v>
      </c>
      <c r="E406" s="1" t="s">
        <v>119</v>
      </c>
      <c r="F406" s="1" t="s">
        <v>1337</v>
      </c>
      <c r="G406" s="1" t="s">
        <v>1337</v>
      </c>
      <c r="H406" s="1" t="s">
        <v>659</v>
      </c>
      <c r="I406" s="1" t="s">
        <v>1175</v>
      </c>
      <c r="J406" s="1" t="s">
        <v>1170</v>
      </c>
      <c r="K406" s="1" t="s">
        <v>407</v>
      </c>
      <c r="L406" s="1" t="s">
        <v>172</v>
      </c>
      <c r="M406" s="5">
        <v>183461.04</v>
      </c>
      <c r="N406" s="6">
        <v>43873</v>
      </c>
      <c r="O406" s="6">
        <v>44196</v>
      </c>
      <c r="P406" s="1" t="s">
        <v>1674</v>
      </c>
    </row>
    <row r="407" spans="1:16" hidden="1">
      <c r="A407" s="4">
        <v>490</v>
      </c>
      <c r="B407" s="2" t="str">
        <f>HYPERLINK("https://my.zakupki.prom.ua/remote/dispatcher/state_purchase_view/19850608", "UA-2020-10-06-002818-a")</f>
        <v>UA-2020-10-06-002818-a</v>
      </c>
      <c r="C407" s="2" t="s">
        <v>1276</v>
      </c>
      <c r="D407" s="2" t="str">
        <f>HYPERLINK("https://my.zakupki.prom.ua/remote/dispatcher/state_contracting_view/5757423", "UA-2020-10-06-002818-a-a1")</f>
        <v>UA-2020-10-06-002818-a-a1</v>
      </c>
      <c r="E407" s="1" t="s">
        <v>739</v>
      </c>
      <c r="F407" s="1" t="s">
        <v>1322</v>
      </c>
      <c r="G407" s="1" t="s">
        <v>1323</v>
      </c>
      <c r="H407" s="1" t="s">
        <v>660</v>
      </c>
      <c r="I407" s="1" t="s">
        <v>1175</v>
      </c>
      <c r="J407" s="1" t="s">
        <v>1203</v>
      </c>
      <c r="K407" s="1" t="s">
        <v>379</v>
      </c>
      <c r="L407" s="1" t="s">
        <v>142</v>
      </c>
      <c r="M407" s="5">
        <v>1400</v>
      </c>
      <c r="N407" s="6">
        <v>44106</v>
      </c>
      <c r="O407" s="6">
        <v>44196</v>
      </c>
      <c r="P407" s="1" t="s">
        <v>1674</v>
      </c>
    </row>
    <row r="408" spans="1:16" hidden="1">
      <c r="A408" s="4">
        <v>491</v>
      </c>
      <c r="B408" s="2" t="str">
        <f>HYPERLINK("https://my.zakupki.prom.ua/remote/dispatcher/state_purchase_view/22338357", "UA-2020-12-17-017026-c")</f>
        <v>UA-2020-12-17-017026-c</v>
      </c>
      <c r="C408" s="2" t="s">
        <v>1276</v>
      </c>
      <c r="D408" s="2" t="str">
        <f>HYPERLINK("https://my.zakupki.prom.ua/remote/dispatcher/state_contracting_view/6937588", "UA-2020-12-17-017026-c-c1")</f>
        <v>UA-2020-12-17-017026-c-c1</v>
      </c>
      <c r="E408" s="1" t="s">
        <v>183</v>
      </c>
      <c r="F408" s="1" t="s">
        <v>1344</v>
      </c>
      <c r="G408" s="1" t="s">
        <v>1345</v>
      </c>
      <c r="H408" s="1" t="s">
        <v>719</v>
      </c>
      <c r="I408" s="1" t="s">
        <v>1175</v>
      </c>
      <c r="J408" s="1" t="s">
        <v>1288</v>
      </c>
      <c r="K408" s="1" t="s">
        <v>309</v>
      </c>
      <c r="L408" s="1" t="s">
        <v>153</v>
      </c>
      <c r="M408" s="5">
        <v>171</v>
      </c>
      <c r="N408" s="6">
        <v>44179</v>
      </c>
      <c r="O408" s="6">
        <v>44196</v>
      </c>
      <c r="P408" s="1" t="s">
        <v>1674</v>
      </c>
    </row>
    <row r="409" spans="1:16" hidden="1">
      <c r="A409" s="4">
        <v>492</v>
      </c>
      <c r="B409" s="2" t="str">
        <f>HYPERLINK("https://my.zakupki.prom.ua/remote/dispatcher/state_purchase_view/21540194", "UA-2020-11-27-010154-b")</f>
        <v>UA-2020-11-27-010154-b</v>
      </c>
      <c r="C409" s="2" t="s">
        <v>1276</v>
      </c>
      <c r="D409" s="2" t="str">
        <f>HYPERLINK("https://my.zakupki.prom.ua/remote/dispatcher/state_contracting_view/6562761", "UA-2020-11-27-010154-b-b1")</f>
        <v>UA-2020-11-27-010154-b-b1</v>
      </c>
      <c r="E409" s="1" t="s">
        <v>578</v>
      </c>
      <c r="F409" s="1" t="s">
        <v>1120</v>
      </c>
      <c r="G409" s="1" t="s">
        <v>1120</v>
      </c>
      <c r="H409" s="1" t="s">
        <v>657</v>
      </c>
      <c r="I409" s="1" t="s">
        <v>1175</v>
      </c>
      <c r="J409" s="1" t="s">
        <v>1170</v>
      </c>
      <c r="K409" s="1" t="s">
        <v>407</v>
      </c>
      <c r="L409" s="1" t="s">
        <v>372</v>
      </c>
      <c r="M409" s="5">
        <v>16538.400000000001</v>
      </c>
      <c r="N409" s="6">
        <v>44160</v>
      </c>
      <c r="O409" s="6">
        <v>44196</v>
      </c>
      <c r="P409" s="1" t="s">
        <v>1674</v>
      </c>
    </row>
    <row r="410" spans="1:16" hidden="1">
      <c r="A410" s="4">
        <v>493</v>
      </c>
      <c r="B410" s="2" t="str">
        <f>HYPERLINK("https://my.zakupki.prom.ua/remote/dispatcher/state_purchase_view/19577339", "UA-2020-09-24-009492-a")</f>
        <v>UA-2020-09-24-009492-a</v>
      </c>
      <c r="C410" s="2" t="s">
        <v>1276</v>
      </c>
      <c r="D410" s="2" t="str">
        <f>HYPERLINK("https://my.zakupki.prom.ua/remote/dispatcher/state_contracting_view/5629340", "UA-2020-09-24-009492-a-a1")</f>
        <v>UA-2020-09-24-009492-a-a1</v>
      </c>
      <c r="E410" s="1" t="s">
        <v>1069</v>
      </c>
      <c r="F410" s="1" t="s">
        <v>1207</v>
      </c>
      <c r="G410" s="1" t="s">
        <v>1208</v>
      </c>
      <c r="H410" s="1" t="s">
        <v>591</v>
      </c>
      <c r="I410" s="1" t="s">
        <v>1175</v>
      </c>
      <c r="J410" s="1" t="s">
        <v>1667</v>
      </c>
      <c r="K410" s="1" t="s">
        <v>511</v>
      </c>
      <c r="L410" s="1" t="s">
        <v>96</v>
      </c>
      <c r="M410" s="5">
        <v>35188</v>
      </c>
      <c r="N410" s="6">
        <v>44098</v>
      </c>
      <c r="O410" s="6">
        <v>44196</v>
      </c>
      <c r="P410" s="1" t="s">
        <v>1674</v>
      </c>
    </row>
    <row r="411" spans="1:16" hidden="1">
      <c r="A411" s="4">
        <v>494</v>
      </c>
      <c r="B411" s="2" t="str">
        <f>HYPERLINK("https://my.zakupki.prom.ua/remote/dispatcher/state_purchase_view/22688733", "UA-2020-12-26-000245-c")</f>
        <v>UA-2020-12-26-000245-c</v>
      </c>
      <c r="C411" s="2" t="s">
        <v>1276</v>
      </c>
      <c r="D411" s="2" t="str">
        <f>HYPERLINK("https://my.zakupki.prom.ua/remote/dispatcher/state_contracting_view/7108391", "UA-2020-12-26-000245-c-c1")</f>
        <v>UA-2020-12-26-000245-c-c1</v>
      </c>
      <c r="E411" s="1" t="s">
        <v>585</v>
      </c>
      <c r="F411" s="1" t="s">
        <v>1117</v>
      </c>
      <c r="G411" s="1" t="s">
        <v>1117</v>
      </c>
      <c r="H411" s="1" t="s">
        <v>658</v>
      </c>
      <c r="I411" s="1" t="s">
        <v>1175</v>
      </c>
      <c r="J411" s="1" t="s">
        <v>1106</v>
      </c>
      <c r="K411" s="1" t="s">
        <v>395</v>
      </c>
      <c r="L411" s="1" t="s">
        <v>319</v>
      </c>
      <c r="M411" s="5">
        <v>26024</v>
      </c>
      <c r="N411" s="6">
        <v>44187</v>
      </c>
      <c r="O411" s="6">
        <v>44196</v>
      </c>
      <c r="P411" s="1" t="s">
        <v>1674</v>
      </c>
    </row>
    <row r="412" spans="1:16" hidden="1">
      <c r="A412" s="4">
        <v>495</v>
      </c>
      <c r="B412" s="2" t="str">
        <f>HYPERLINK("https://my.zakupki.prom.ua/remote/dispatcher/state_purchase_view/17765756", "UA-2020-07-09-004393-c")</f>
        <v>UA-2020-07-09-004393-c</v>
      </c>
      <c r="C412" s="2" t="s">
        <v>1276</v>
      </c>
      <c r="D412" s="2" t="str">
        <f>HYPERLINK("https://my.zakupki.prom.ua/remote/dispatcher/state_contracting_view/4776607", "UA-2020-07-09-004393-c-c1")</f>
        <v>UA-2020-07-09-004393-c-c1</v>
      </c>
      <c r="E412" s="1" t="s">
        <v>943</v>
      </c>
      <c r="F412" s="1" t="s">
        <v>1086</v>
      </c>
      <c r="G412" s="1" t="s">
        <v>1181</v>
      </c>
      <c r="H412" s="1" t="s">
        <v>358</v>
      </c>
      <c r="I412" s="1" t="s">
        <v>1175</v>
      </c>
      <c r="J412" s="1" t="s">
        <v>1192</v>
      </c>
      <c r="K412" s="1" t="s">
        <v>251</v>
      </c>
      <c r="L412" s="1" t="s">
        <v>72</v>
      </c>
      <c r="M412" s="5">
        <v>3580</v>
      </c>
      <c r="N412" s="6">
        <v>44021</v>
      </c>
      <c r="O412" s="6">
        <v>44196</v>
      </c>
      <c r="P412" s="1" t="s">
        <v>1674</v>
      </c>
    </row>
    <row r="413" spans="1:16" hidden="1">
      <c r="A413" s="4">
        <v>496</v>
      </c>
      <c r="B413" s="2" t="str">
        <f>HYPERLINK("https://my.zakupki.prom.ua/remote/dispatcher/state_purchase_view/20038030", "UA-2020-10-12-006530-c")</f>
        <v>UA-2020-10-12-006530-c</v>
      </c>
      <c r="C413" s="2" t="s">
        <v>1276</v>
      </c>
      <c r="D413" s="2" t="str">
        <f>HYPERLINK("https://my.zakupki.prom.ua/remote/dispatcher/state_contracting_view/5845594", "UA-2020-10-12-006530-c-c1")</f>
        <v>UA-2020-10-12-006530-c-c1</v>
      </c>
      <c r="E413" s="1" t="s">
        <v>1041</v>
      </c>
      <c r="F413" s="1" t="s">
        <v>1304</v>
      </c>
      <c r="G413" s="1" t="s">
        <v>1304</v>
      </c>
      <c r="H413" s="1" t="s">
        <v>325</v>
      </c>
      <c r="I413" s="1" t="s">
        <v>1175</v>
      </c>
      <c r="J413" s="1" t="s">
        <v>1639</v>
      </c>
      <c r="K413" s="1" t="s">
        <v>187</v>
      </c>
      <c r="L413" s="1" t="s">
        <v>135</v>
      </c>
      <c r="M413" s="5">
        <v>4788</v>
      </c>
      <c r="N413" s="6">
        <v>44116</v>
      </c>
      <c r="O413" s="6">
        <v>44196</v>
      </c>
      <c r="P413" s="1" t="s">
        <v>1674</v>
      </c>
    </row>
    <row r="414" spans="1:16" hidden="1">
      <c r="A414" s="4">
        <v>497</v>
      </c>
      <c r="B414" s="2" t="str">
        <f>HYPERLINK("https://my.zakupki.prom.ua/remote/dispatcher/state_purchase_view/20971915", "UA-2020-11-11-006389-a")</f>
        <v>UA-2020-11-11-006389-a</v>
      </c>
      <c r="C414" s="2" t="s">
        <v>1276</v>
      </c>
      <c r="D414" s="2" t="str">
        <f>HYPERLINK("https://my.zakupki.prom.ua/remote/dispatcher/state_contracting_view/6294706", "UA-2020-11-11-006389-a-a1")</f>
        <v>UA-2020-11-11-006389-a-a1</v>
      </c>
      <c r="E414" s="1" t="s">
        <v>801</v>
      </c>
      <c r="F414" s="1" t="s">
        <v>1274</v>
      </c>
      <c r="G414" s="1" t="s">
        <v>1275</v>
      </c>
      <c r="H414" s="1" t="s">
        <v>103</v>
      </c>
      <c r="I414" s="1" t="s">
        <v>1175</v>
      </c>
      <c r="J414" s="1" t="s">
        <v>1631</v>
      </c>
      <c r="K414" s="1" t="s">
        <v>541</v>
      </c>
      <c r="L414" s="1" t="s">
        <v>100</v>
      </c>
      <c r="M414" s="5">
        <v>987.75</v>
      </c>
      <c r="N414" s="6">
        <v>44144</v>
      </c>
      <c r="O414" s="6">
        <v>44196</v>
      </c>
      <c r="P414" s="1" t="s">
        <v>1674</v>
      </c>
    </row>
    <row r="415" spans="1:16" hidden="1">
      <c r="A415" s="4">
        <v>498</v>
      </c>
      <c r="B415" s="2" t="str">
        <f>HYPERLINK("https://my.zakupki.prom.ua/remote/dispatcher/state_purchase_view/21539910", "UA-2020-11-27-010056-b")</f>
        <v>UA-2020-11-27-010056-b</v>
      </c>
      <c r="C415" s="2" t="s">
        <v>1276</v>
      </c>
      <c r="D415" s="2" t="str">
        <f>HYPERLINK("https://my.zakupki.prom.ua/remote/dispatcher/state_contracting_view/6562810", "UA-2020-11-27-010056-b-b1")</f>
        <v>UA-2020-11-27-010056-b-b1</v>
      </c>
      <c r="E415" s="1" t="s">
        <v>817</v>
      </c>
      <c r="F415" s="1" t="s">
        <v>1119</v>
      </c>
      <c r="G415" s="1" t="s">
        <v>1119</v>
      </c>
      <c r="H415" s="1" t="s">
        <v>657</v>
      </c>
      <c r="I415" s="1" t="s">
        <v>1175</v>
      </c>
      <c r="J415" s="1" t="s">
        <v>1170</v>
      </c>
      <c r="K415" s="1" t="s">
        <v>407</v>
      </c>
      <c r="L415" s="1" t="s">
        <v>355</v>
      </c>
      <c r="M415" s="5">
        <v>30550.799999999999</v>
      </c>
      <c r="N415" s="6">
        <v>44160</v>
      </c>
      <c r="O415" s="6">
        <v>44196</v>
      </c>
      <c r="P415" s="1" t="s">
        <v>1674</v>
      </c>
    </row>
    <row r="416" spans="1:16" hidden="1">
      <c r="A416" s="4">
        <v>499</v>
      </c>
      <c r="B416" s="2" t="str">
        <f>HYPERLINK("https://my.zakupki.prom.ua/remote/dispatcher/state_purchase_view/21546997", "UA-2020-11-29-000092-b")</f>
        <v>UA-2020-11-29-000092-b</v>
      </c>
      <c r="C416" s="2" t="s">
        <v>1276</v>
      </c>
      <c r="D416" s="2" t="str">
        <f>HYPERLINK("https://my.zakupki.prom.ua/remote/dispatcher/state_contracting_view/6562852", "UA-2020-11-29-000092-b-b1")</f>
        <v>UA-2020-11-29-000092-b-b1</v>
      </c>
      <c r="E416" s="1" t="s">
        <v>874</v>
      </c>
      <c r="F416" s="1" t="s">
        <v>1351</v>
      </c>
      <c r="G416" s="1" t="s">
        <v>1351</v>
      </c>
      <c r="H416" s="1" t="s">
        <v>757</v>
      </c>
      <c r="I416" s="1" t="s">
        <v>1175</v>
      </c>
      <c r="J416" s="1" t="s">
        <v>1665</v>
      </c>
      <c r="K416" s="1" t="s">
        <v>394</v>
      </c>
      <c r="L416" s="1" t="s">
        <v>557</v>
      </c>
      <c r="M416" s="5">
        <v>300</v>
      </c>
      <c r="N416" s="6">
        <v>44160</v>
      </c>
      <c r="O416" s="6">
        <v>44196</v>
      </c>
      <c r="P416" s="1" t="s">
        <v>1674</v>
      </c>
    </row>
    <row r="417" spans="1:16" hidden="1">
      <c r="A417" s="4">
        <v>500</v>
      </c>
      <c r="B417" s="2" t="str">
        <f>HYPERLINK("https://my.zakupki.prom.ua/remote/dispatcher/state_purchase_view/19455503", "UA-2020-09-21-010474-b")</f>
        <v>UA-2020-09-21-010474-b</v>
      </c>
      <c r="C417" s="2" t="s">
        <v>1276</v>
      </c>
      <c r="D417" s="2" t="str">
        <f>HYPERLINK("https://my.zakupki.prom.ua/remote/dispatcher/state_contracting_view/5572304", "UA-2020-09-21-010474-b-b1")</f>
        <v>UA-2020-09-21-010474-b-b1</v>
      </c>
      <c r="E417" s="1" t="s">
        <v>823</v>
      </c>
      <c r="F417" s="1" t="s">
        <v>1263</v>
      </c>
      <c r="G417" s="1" t="s">
        <v>1263</v>
      </c>
      <c r="H417" s="1" t="s">
        <v>655</v>
      </c>
      <c r="I417" s="1" t="s">
        <v>1175</v>
      </c>
      <c r="J417" s="1" t="s">
        <v>1138</v>
      </c>
      <c r="K417" s="1" t="s">
        <v>383</v>
      </c>
      <c r="L417" s="1" t="s">
        <v>95</v>
      </c>
      <c r="M417" s="5">
        <v>7400</v>
      </c>
      <c r="N417" s="6">
        <v>44095</v>
      </c>
      <c r="O417" s="6">
        <v>44196</v>
      </c>
      <c r="P417" s="1" t="s">
        <v>1674</v>
      </c>
    </row>
    <row r="418" spans="1:16" hidden="1">
      <c r="A418" s="4">
        <v>501</v>
      </c>
      <c r="B418" s="2" t="str">
        <f>HYPERLINK("https://my.zakupki.prom.ua/remote/dispatcher/state_purchase_view/19848148", "UA-2020-10-06-002174-a")</f>
        <v>UA-2020-10-06-002174-a</v>
      </c>
      <c r="C418" s="2" t="s">
        <v>1276</v>
      </c>
      <c r="D418" s="2" t="str">
        <f>HYPERLINK("https://my.zakupki.prom.ua/remote/dispatcher/state_contracting_view/5756562", "UA-2020-10-06-002174-a-a1")</f>
        <v>UA-2020-10-06-002174-a-a1</v>
      </c>
      <c r="E418" s="1" t="s">
        <v>964</v>
      </c>
      <c r="F418" s="1" t="s">
        <v>1300</v>
      </c>
      <c r="G418" s="1" t="s">
        <v>1301</v>
      </c>
      <c r="H418" s="1" t="s">
        <v>441</v>
      </c>
      <c r="I418" s="1" t="s">
        <v>1175</v>
      </c>
      <c r="J418" s="1" t="s">
        <v>1191</v>
      </c>
      <c r="K418" s="1" t="s">
        <v>377</v>
      </c>
      <c r="L418" s="1" t="s">
        <v>133</v>
      </c>
      <c r="M418" s="5">
        <v>5000</v>
      </c>
      <c r="N418" s="6">
        <v>44105</v>
      </c>
      <c r="O418" s="6">
        <v>44196</v>
      </c>
      <c r="P418" s="1" t="s">
        <v>1674</v>
      </c>
    </row>
    <row r="419" spans="1:16" hidden="1">
      <c r="A419" s="4">
        <v>502</v>
      </c>
      <c r="B419" s="2" t="str">
        <f>HYPERLINK("https://my.zakupki.prom.ua/remote/dispatcher/state_purchase_view/21030042", "UA-2020-11-12-011649-c")</f>
        <v>UA-2020-11-12-011649-c</v>
      </c>
      <c r="C419" s="2" t="s">
        <v>1276</v>
      </c>
      <c r="D419" s="2" t="str">
        <f>HYPERLINK("https://my.zakupki.prom.ua/remote/dispatcher/state_contracting_view/6322232", "UA-2020-11-12-011649-c-c1")</f>
        <v>UA-2020-11-12-011649-c-c1</v>
      </c>
      <c r="E419" s="1" t="s">
        <v>779</v>
      </c>
      <c r="F419" s="1" t="s">
        <v>1116</v>
      </c>
      <c r="G419" s="1" t="s">
        <v>1116</v>
      </c>
      <c r="H419" s="1" t="s">
        <v>750</v>
      </c>
      <c r="I419" s="1" t="s">
        <v>1175</v>
      </c>
      <c r="J419" s="1" t="s">
        <v>1106</v>
      </c>
      <c r="K419" s="1" t="s">
        <v>395</v>
      </c>
      <c r="L419" s="1" t="s">
        <v>761</v>
      </c>
      <c r="M419" s="5">
        <v>49546.32</v>
      </c>
      <c r="N419" s="6">
        <v>44144</v>
      </c>
      <c r="O419" s="6">
        <v>44196</v>
      </c>
      <c r="P419" s="1" t="s">
        <v>1674</v>
      </c>
    </row>
    <row r="420" spans="1:16" hidden="1">
      <c r="A420" s="4">
        <v>503</v>
      </c>
      <c r="B420" s="2" t="str">
        <f>HYPERLINK("https://my.zakupki.prom.ua/remote/dispatcher/state_purchase_view/15532212", "UA-2020-02-28-001720-a")</f>
        <v>UA-2020-02-28-001720-a</v>
      </c>
      <c r="C420" s="2" t="s">
        <v>1276</v>
      </c>
      <c r="D420" s="2" t="str">
        <f>HYPERLINK("https://my.zakupki.prom.ua/remote/dispatcher/state_contracting_view/3869710", "UA-2020-02-28-001720-a-a1")</f>
        <v>UA-2020-02-28-001720-a-a1</v>
      </c>
      <c r="E420" s="1" t="s">
        <v>1028</v>
      </c>
      <c r="F420" s="1" t="s">
        <v>1250</v>
      </c>
      <c r="G420" s="1" t="s">
        <v>1251</v>
      </c>
      <c r="H420" s="1" t="s">
        <v>656</v>
      </c>
      <c r="I420" s="1" t="s">
        <v>1175</v>
      </c>
      <c r="J420" s="1" t="s">
        <v>1297</v>
      </c>
      <c r="K420" s="1" t="s">
        <v>308</v>
      </c>
      <c r="L420" s="1" t="s">
        <v>23</v>
      </c>
      <c r="M420" s="5">
        <v>75787.08</v>
      </c>
      <c r="N420" s="6">
        <v>43889</v>
      </c>
      <c r="O420" s="6">
        <v>44196</v>
      </c>
      <c r="P420" s="1" t="s">
        <v>1674</v>
      </c>
    </row>
    <row r="421" spans="1:16" hidden="1">
      <c r="A421" s="4">
        <v>504</v>
      </c>
      <c r="B421" s="2" t="str">
        <f>HYPERLINK("https://my.zakupki.prom.ua/remote/dispatcher/state_purchase_view/18109648", "UA-2020-07-24-007795-b")</f>
        <v>UA-2020-07-24-007795-b</v>
      </c>
      <c r="C421" s="2" t="s">
        <v>1276</v>
      </c>
      <c r="D421" s="2" t="str">
        <f>HYPERLINK("https://my.zakupki.prom.ua/remote/dispatcher/state_contracting_view/4942651", "UA-2020-07-24-007795-b-b1")</f>
        <v>UA-2020-07-24-007795-b-b1</v>
      </c>
      <c r="E421" s="1" t="s">
        <v>1020</v>
      </c>
      <c r="F421" s="1" t="s">
        <v>1321</v>
      </c>
      <c r="G421" s="1" t="s">
        <v>1321</v>
      </c>
      <c r="H421" s="1" t="s">
        <v>797</v>
      </c>
      <c r="I421" s="1" t="s">
        <v>1175</v>
      </c>
      <c r="J421" s="1" t="s">
        <v>1624</v>
      </c>
      <c r="K421" s="1" t="s">
        <v>534</v>
      </c>
      <c r="L421" s="1" t="s">
        <v>755</v>
      </c>
      <c r="M421" s="5">
        <v>1370</v>
      </c>
      <c r="N421" s="6">
        <v>44033</v>
      </c>
      <c r="O421" s="6">
        <v>44196</v>
      </c>
      <c r="P421" s="1" t="s">
        <v>1674</v>
      </c>
    </row>
    <row r="422" spans="1:16" hidden="1">
      <c r="A422" s="4">
        <v>505</v>
      </c>
      <c r="B422" s="2" t="str">
        <f>HYPERLINK("https://my.zakupki.prom.ua/remote/dispatcher/state_purchase_view/16904631", "UA-2020-05-27-008092-b")</f>
        <v>UA-2020-05-27-008092-b</v>
      </c>
      <c r="C422" s="2" t="s">
        <v>1276</v>
      </c>
      <c r="D422" s="2" t="str">
        <f>HYPERLINK("https://my.zakupki.prom.ua/remote/dispatcher/state_contracting_view/4380547", "UA-2020-05-27-008092-b-b1")</f>
        <v>UA-2020-05-27-008092-b-b1</v>
      </c>
      <c r="E422" s="1" t="s">
        <v>837</v>
      </c>
      <c r="F422" s="1" t="s">
        <v>1591</v>
      </c>
      <c r="G422" s="1" t="s">
        <v>1591</v>
      </c>
      <c r="H422" s="1" t="s">
        <v>748</v>
      </c>
      <c r="I422" s="1" t="s">
        <v>1175</v>
      </c>
      <c r="J422" s="1" t="s">
        <v>1297</v>
      </c>
      <c r="K422" s="1" t="s">
        <v>308</v>
      </c>
      <c r="L422" s="1" t="s">
        <v>671</v>
      </c>
      <c r="M422" s="5">
        <v>3891.6</v>
      </c>
      <c r="N422" s="6">
        <v>43977</v>
      </c>
      <c r="O422" s="6">
        <v>44196</v>
      </c>
      <c r="P422" s="1" t="s">
        <v>1674</v>
      </c>
    </row>
    <row r="423" spans="1:16" hidden="1">
      <c r="A423" s="4">
        <v>506</v>
      </c>
      <c r="B423" s="2" t="str">
        <f>HYPERLINK("https://my.zakupki.prom.ua/remote/dispatcher/state_purchase_view/18359859", "UA-2020-08-06-003741-a")</f>
        <v>UA-2020-08-06-003741-a</v>
      </c>
      <c r="C423" s="2" t="s">
        <v>1276</v>
      </c>
      <c r="D423" s="2" t="str">
        <f>HYPERLINK("https://my.zakupki.prom.ua/remote/dispatcher/state_contracting_view/5053305", "UA-2020-08-06-003741-a-a1")</f>
        <v>UA-2020-08-06-003741-a-a1</v>
      </c>
      <c r="E423" s="1" t="s">
        <v>820</v>
      </c>
      <c r="F423" s="1" t="s">
        <v>1092</v>
      </c>
      <c r="G423" s="1" t="s">
        <v>1094</v>
      </c>
      <c r="H423" s="1" t="s">
        <v>608</v>
      </c>
      <c r="I423" s="1" t="s">
        <v>1175</v>
      </c>
      <c r="J423" s="1" t="s">
        <v>1202</v>
      </c>
      <c r="K423" s="1" t="s">
        <v>289</v>
      </c>
      <c r="L423" s="1" t="s">
        <v>83</v>
      </c>
      <c r="M423" s="5">
        <v>9002</v>
      </c>
      <c r="N423" s="6">
        <v>44047</v>
      </c>
      <c r="O423" s="6">
        <v>44196</v>
      </c>
      <c r="P423" s="1" t="s">
        <v>1674</v>
      </c>
    </row>
    <row r="424" spans="1:16" hidden="1">
      <c r="A424" s="4">
        <v>507</v>
      </c>
      <c r="B424" s="2" t="str">
        <f>HYPERLINK("https://my.zakupki.prom.ua/remote/dispatcher/state_purchase_view/20109914", "UA-2020-10-15-003191-c")</f>
        <v>UA-2020-10-15-003191-c</v>
      </c>
      <c r="C424" s="2" t="s">
        <v>1276</v>
      </c>
      <c r="D424" s="2" t="str">
        <f>HYPERLINK("https://my.zakupki.prom.ua/remote/dispatcher/state_contracting_view/5880303", "UA-2020-10-15-003191-c-c1")</f>
        <v>UA-2020-10-15-003191-c-c1</v>
      </c>
      <c r="E424" s="1" t="s">
        <v>900</v>
      </c>
      <c r="F424" s="1" t="s">
        <v>1369</v>
      </c>
      <c r="G424" s="1" t="s">
        <v>1369</v>
      </c>
      <c r="H424" s="1" t="s">
        <v>442</v>
      </c>
      <c r="I424" s="1" t="s">
        <v>1175</v>
      </c>
      <c r="J424" s="1" t="s">
        <v>1138</v>
      </c>
      <c r="K424" s="1" t="s">
        <v>383</v>
      </c>
      <c r="L424" s="1" t="s">
        <v>134</v>
      </c>
      <c r="M424" s="5">
        <v>15700</v>
      </c>
      <c r="N424" s="6">
        <v>44116</v>
      </c>
      <c r="O424" s="6">
        <v>44196</v>
      </c>
      <c r="P424" s="1" t="s">
        <v>1674</v>
      </c>
    </row>
    <row r="425" spans="1:16" hidden="1">
      <c r="A425" s="4">
        <v>508</v>
      </c>
      <c r="B425" s="2" t="str">
        <f>HYPERLINK("https://my.zakupki.prom.ua/remote/dispatcher/state_purchase_view/20525355", "UA-2020-10-27-010270-a")</f>
        <v>UA-2020-10-27-010270-a</v>
      </c>
      <c r="C425" s="2" t="s">
        <v>1276</v>
      </c>
      <c r="D425" s="2" t="str">
        <f>HYPERLINK("https://my.zakupki.prom.ua/remote/dispatcher/state_contracting_view/6082108", "UA-2020-10-27-010270-a-a1")</f>
        <v>UA-2020-10-27-010270-a-a1</v>
      </c>
      <c r="E425" s="1" t="s">
        <v>897</v>
      </c>
      <c r="F425" s="1" t="s">
        <v>1092</v>
      </c>
      <c r="G425" s="1" t="s">
        <v>1095</v>
      </c>
      <c r="H425" s="1" t="s">
        <v>608</v>
      </c>
      <c r="I425" s="1" t="s">
        <v>1175</v>
      </c>
      <c r="J425" s="1" t="s">
        <v>1189</v>
      </c>
      <c r="K425" s="1" t="s">
        <v>477</v>
      </c>
      <c r="L425" s="1" t="s">
        <v>388</v>
      </c>
      <c r="M425" s="5">
        <v>204</v>
      </c>
      <c r="N425" s="6">
        <v>44130</v>
      </c>
      <c r="O425" s="6">
        <v>44196</v>
      </c>
      <c r="P425" s="1" t="s">
        <v>1674</v>
      </c>
    </row>
    <row r="426" spans="1:16" hidden="1">
      <c r="A426" s="4">
        <v>509</v>
      </c>
      <c r="B426" s="2" t="str">
        <f>HYPERLINK("https://my.zakupki.prom.ua/remote/dispatcher/state_purchase_view/22286515", "UA-2020-12-17-001857-c")</f>
        <v>UA-2020-12-17-001857-c</v>
      </c>
      <c r="C426" s="2" t="s">
        <v>1276</v>
      </c>
      <c r="D426" s="2" t="str">
        <f>HYPERLINK("https://my.zakupki.prom.ua/remote/dispatcher/state_contracting_view/6913530", "UA-2020-12-17-001857-c-c1")</f>
        <v>UA-2020-12-17-001857-c-c1</v>
      </c>
      <c r="E426" s="1" t="s">
        <v>211</v>
      </c>
      <c r="F426" s="1" t="s">
        <v>1587</v>
      </c>
      <c r="G426" s="1" t="s">
        <v>1588</v>
      </c>
      <c r="H426" s="1" t="s">
        <v>564</v>
      </c>
      <c r="I426" s="1" t="s">
        <v>1175</v>
      </c>
      <c r="J426" s="1" t="s">
        <v>1202</v>
      </c>
      <c r="K426" s="1" t="s">
        <v>289</v>
      </c>
      <c r="L426" s="1" t="s">
        <v>163</v>
      </c>
      <c r="M426" s="5">
        <v>3663</v>
      </c>
      <c r="N426" s="6">
        <v>44180</v>
      </c>
      <c r="O426" s="6">
        <v>44196</v>
      </c>
      <c r="P426" s="1" t="s">
        <v>1674</v>
      </c>
    </row>
    <row r="427" spans="1:16" hidden="1">
      <c r="A427" s="4">
        <v>510</v>
      </c>
      <c r="B427" s="2" t="str">
        <f>HYPERLINK("https://my.zakupki.prom.ua/remote/dispatcher/state_purchase_view/22341456", "UA-2020-12-17-017957-c")</f>
        <v>UA-2020-12-17-017957-c</v>
      </c>
      <c r="C427" s="2" t="s">
        <v>1276</v>
      </c>
      <c r="D427" s="2" t="str">
        <f>HYPERLINK("https://my.zakupki.prom.ua/remote/dispatcher/state_contracting_view/6939146", "UA-2020-12-17-017957-c-c1")</f>
        <v>UA-2020-12-17-017957-c-c1</v>
      </c>
      <c r="E427" s="1" t="s">
        <v>234</v>
      </c>
      <c r="F427" s="1" t="s">
        <v>1092</v>
      </c>
      <c r="G427" s="1" t="s">
        <v>1093</v>
      </c>
      <c r="H427" s="1" t="s">
        <v>608</v>
      </c>
      <c r="I427" s="1" t="s">
        <v>1175</v>
      </c>
      <c r="J427" s="1" t="s">
        <v>1202</v>
      </c>
      <c r="K427" s="1" t="s">
        <v>289</v>
      </c>
      <c r="L427" s="1" t="s">
        <v>166</v>
      </c>
      <c r="M427" s="5">
        <v>1054</v>
      </c>
      <c r="N427" s="6">
        <v>44181</v>
      </c>
      <c r="O427" s="6">
        <v>44196</v>
      </c>
      <c r="P427" s="1" t="s">
        <v>1674</v>
      </c>
    </row>
    <row r="428" spans="1:16" hidden="1">
      <c r="A428" s="4">
        <v>511</v>
      </c>
      <c r="B428" s="2" t="str">
        <f>HYPERLINK("https://my.zakupki.prom.ua/remote/dispatcher/state_purchase_view/22336940", "UA-2020-12-17-016612-c")</f>
        <v>UA-2020-12-17-016612-c</v>
      </c>
      <c r="C428" s="2" t="s">
        <v>1276</v>
      </c>
      <c r="D428" s="2" t="str">
        <f>HYPERLINK("https://my.zakupki.prom.ua/remote/dispatcher/state_contracting_view/6936474", "UA-2020-12-17-016612-c-c1")</f>
        <v>UA-2020-12-17-016612-c-c1</v>
      </c>
      <c r="E428" s="1" t="s">
        <v>899</v>
      </c>
      <c r="F428" s="1" t="s">
        <v>1612</v>
      </c>
      <c r="G428" s="1" t="s">
        <v>1613</v>
      </c>
      <c r="H428" s="1" t="s">
        <v>719</v>
      </c>
      <c r="I428" s="1" t="s">
        <v>1175</v>
      </c>
      <c r="J428" s="1" t="s">
        <v>1288</v>
      </c>
      <c r="K428" s="1" t="s">
        <v>309</v>
      </c>
      <c r="L428" s="1" t="s">
        <v>152</v>
      </c>
      <c r="M428" s="5">
        <v>189</v>
      </c>
      <c r="N428" s="6">
        <v>44179</v>
      </c>
      <c r="O428" s="6">
        <v>44196</v>
      </c>
      <c r="P428" s="1" t="s">
        <v>1674</v>
      </c>
    </row>
    <row r="429" spans="1:16" hidden="1">
      <c r="A429" s="4">
        <v>512</v>
      </c>
      <c r="B429" s="2" t="str">
        <f>HYPERLINK("https://my.zakupki.prom.ua/remote/dispatcher/state_purchase_view/21012341", "UA-2020-11-12-006377-c")</f>
        <v>UA-2020-11-12-006377-c</v>
      </c>
      <c r="C429" s="2" t="s">
        <v>1276</v>
      </c>
      <c r="D429" s="2" t="str">
        <f>HYPERLINK("https://my.zakupki.prom.ua/remote/dispatcher/state_contracting_view/6313904", "UA-2020-11-12-006377-c-c1")</f>
        <v>UA-2020-11-12-006377-c-c1</v>
      </c>
      <c r="E429" s="1" t="s">
        <v>816</v>
      </c>
      <c r="F429" s="1" t="s">
        <v>1083</v>
      </c>
      <c r="G429" s="1" t="s">
        <v>1083</v>
      </c>
      <c r="H429" s="1" t="s">
        <v>520</v>
      </c>
      <c r="I429" s="1" t="s">
        <v>1175</v>
      </c>
      <c r="J429" s="1" t="s">
        <v>1172</v>
      </c>
      <c r="K429" s="1" t="s">
        <v>406</v>
      </c>
      <c r="L429" s="1" t="s">
        <v>144</v>
      </c>
      <c r="M429" s="5">
        <v>460</v>
      </c>
      <c r="N429" s="6">
        <v>44144</v>
      </c>
      <c r="O429" s="6">
        <v>44196</v>
      </c>
      <c r="P429" s="1" t="s">
        <v>1674</v>
      </c>
    </row>
    <row r="430" spans="1:16" hidden="1">
      <c r="A430" s="4">
        <v>513</v>
      </c>
      <c r="B430" s="2" t="str">
        <f>HYPERLINK("https://my.zakupki.prom.ua/remote/dispatcher/state_purchase_view/21015066", "UA-2020-11-12-007149-c")</f>
        <v>UA-2020-11-12-007149-c</v>
      </c>
      <c r="C430" s="2" t="s">
        <v>1276</v>
      </c>
      <c r="D430" s="2" t="str">
        <f>HYPERLINK("https://my.zakupki.prom.ua/remote/dispatcher/state_contracting_view/6315123", "UA-2020-11-12-007149-c-c1")</f>
        <v>UA-2020-11-12-007149-c-c1</v>
      </c>
      <c r="E430" s="1" t="s">
        <v>527</v>
      </c>
      <c r="F430" s="1" t="s">
        <v>1586</v>
      </c>
      <c r="G430" s="1" t="s">
        <v>1586</v>
      </c>
      <c r="H430" s="1" t="s">
        <v>748</v>
      </c>
      <c r="I430" s="1" t="s">
        <v>1175</v>
      </c>
      <c r="J430" s="1" t="s">
        <v>1623</v>
      </c>
      <c r="K430" s="1" t="s">
        <v>478</v>
      </c>
      <c r="L430" s="1" t="s">
        <v>747</v>
      </c>
      <c r="M430" s="5">
        <v>3408</v>
      </c>
      <c r="N430" s="6">
        <v>44144</v>
      </c>
      <c r="O430" s="6">
        <v>44196</v>
      </c>
      <c r="P430" s="1" t="s">
        <v>1674</v>
      </c>
    </row>
    <row r="431" spans="1:16" hidden="1">
      <c r="A431" s="4">
        <v>514</v>
      </c>
      <c r="B431" s="2" t="str">
        <f>HYPERLINK("https://my.zakupki.prom.ua/remote/dispatcher/state_purchase_view/20438450", "UA-2020-10-23-011564-a")</f>
        <v>UA-2020-10-23-011564-a</v>
      </c>
      <c r="C431" s="2" t="s">
        <v>1276</v>
      </c>
      <c r="D431" s="2" t="str">
        <f>HYPERLINK("https://my.zakupki.prom.ua/remote/dispatcher/state_contracting_view/6038711", "UA-2020-10-23-011564-a-a1")</f>
        <v>UA-2020-10-23-011564-a-a1</v>
      </c>
      <c r="E431" s="1" t="s">
        <v>974</v>
      </c>
      <c r="F431" s="1" t="s">
        <v>1115</v>
      </c>
      <c r="G431" s="1" t="s">
        <v>1115</v>
      </c>
      <c r="H431" s="1" t="s">
        <v>750</v>
      </c>
      <c r="I431" s="1" t="s">
        <v>1175</v>
      </c>
      <c r="J431" s="1" t="s">
        <v>1106</v>
      </c>
      <c r="K431" s="1" t="s">
        <v>395</v>
      </c>
      <c r="L431" s="1" t="s">
        <v>303</v>
      </c>
      <c r="M431" s="5">
        <v>4380</v>
      </c>
      <c r="N431" s="6">
        <v>44125</v>
      </c>
      <c r="O431" s="6">
        <v>44196</v>
      </c>
      <c r="P431" s="1" t="s">
        <v>1674</v>
      </c>
    </row>
    <row r="432" spans="1:16" hidden="1">
      <c r="A432" s="4">
        <v>515</v>
      </c>
      <c r="B432" s="2" t="str">
        <f>HYPERLINK("https://my.zakupki.prom.ua/remote/dispatcher/state_purchase_view/20436014", "UA-2020-10-23-010858-a")</f>
        <v>UA-2020-10-23-010858-a</v>
      </c>
      <c r="C432" s="2" t="s">
        <v>1276</v>
      </c>
      <c r="D432" s="2" t="str">
        <f>HYPERLINK("https://my.zakupki.prom.ua/remote/dispatcher/state_contracting_view/6037970", "UA-2020-10-23-010858-a-a1")</f>
        <v>UA-2020-10-23-010858-a-a1</v>
      </c>
      <c r="E432" s="1" t="s">
        <v>895</v>
      </c>
      <c r="F432" s="1" t="s">
        <v>1126</v>
      </c>
      <c r="G432" s="1" t="s">
        <v>1126</v>
      </c>
      <c r="H432" s="1" t="s">
        <v>480</v>
      </c>
      <c r="I432" s="1" t="s">
        <v>1175</v>
      </c>
      <c r="J432" s="1" t="s">
        <v>1170</v>
      </c>
      <c r="K432" s="1" t="s">
        <v>407</v>
      </c>
      <c r="L432" s="1" t="s">
        <v>242</v>
      </c>
      <c r="M432" s="5">
        <v>49977.599999999999</v>
      </c>
      <c r="N432" s="6">
        <v>44125</v>
      </c>
      <c r="O432" s="6">
        <v>44196</v>
      </c>
      <c r="P432" s="1" t="s">
        <v>1676</v>
      </c>
    </row>
    <row r="433" spans="1:16" hidden="1">
      <c r="A433" s="4">
        <v>516</v>
      </c>
      <c r="B433" s="2" t="str">
        <f>HYPERLINK("https://my.zakupki.prom.ua/remote/dispatcher/state_purchase_view/20817398", "UA-2020-11-05-013274-c")</f>
        <v>UA-2020-11-05-013274-c</v>
      </c>
      <c r="C433" s="2" t="s">
        <v>1276</v>
      </c>
      <c r="D433" s="2" t="str">
        <f>HYPERLINK("https://my.zakupki.prom.ua/remote/dispatcher/state_contracting_view/6220807", "UA-2020-11-05-013274-c-c1")</f>
        <v>UA-2020-11-05-013274-c-c1</v>
      </c>
      <c r="E433" s="1" t="s">
        <v>987</v>
      </c>
      <c r="F433" s="1" t="s">
        <v>1209</v>
      </c>
      <c r="G433" s="1" t="s">
        <v>1209</v>
      </c>
      <c r="H433" s="1" t="s">
        <v>607</v>
      </c>
      <c r="I433" s="1" t="s">
        <v>1175</v>
      </c>
      <c r="J433" s="1" t="s">
        <v>1190</v>
      </c>
      <c r="K433" s="1" t="s">
        <v>477</v>
      </c>
      <c r="L433" s="1" t="s">
        <v>48</v>
      </c>
      <c r="M433" s="5">
        <v>793</v>
      </c>
      <c r="N433" s="6">
        <v>44139</v>
      </c>
      <c r="O433" s="6">
        <v>44196</v>
      </c>
      <c r="P433" s="1" t="s">
        <v>1674</v>
      </c>
    </row>
    <row r="434" spans="1:16" hidden="1">
      <c r="A434" s="4">
        <v>517</v>
      </c>
      <c r="B434" s="2" t="str">
        <f>HYPERLINK("https://my.zakupki.prom.ua/remote/dispatcher/state_purchase_view/22355556", "UA-2020-12-18-002534-c")</f>
        <v>UA-2020-12-18-002534-c</v>
      </c>
      <c r="C434" s="2" t="s">
        <v>1276</v>
      </c>
      <c r="D434" s="2" t="str">
        <f>HYPERLINK("https://my.zakupki.prom.ua/remote/dispatcher/state_contracting_view/6946490", "UA-2020-12-18-002534-c-c1")</f>
        <v>UA-2020-12-18-002534-c-c1</v>
      </c>
      <c r="E434" s="1" t="s">
        <v>542</v>
      </c>
      <c r="F434" s="1" t="s">
        <v>1211</v>
      </c>
      <c r="G434" s="1" t="s">
        <v>1211</v>
      </c>
      <c r="H434" s="1" t="s">
        <v>494</v>
      </c>
      <c r="I434" s="1" t="s">
        <v>1175</v>
      </c>
      <c r="J434" s="1" t="s">
        <v>1148</v>
      </c>
      <c r="K434" s="1" t="s">
        <v>296</v>
      </c>
      <c r="L434" s="1" t="s">
        <v>165</v>
      </c>
      <c r="M434" s="5">
        <v>500</v>
      </c>
      <c r="N434" s="6">
        <v>44181</v>
      </c>
      <c r="O434" s="6">
        <v>44196</v>
      </c>
      <c r="P434" s="1" t="s">
        <v>1674</v>
      </c>
    </row>
    <row r="435" spans="1:16" hidden="1">
      <c r="A435" s="4">
        <v>518</v>
      </c>
      <c r="B435" s="2" t="str">
        <f>HYPERLINK("https://my.zakupki.prom.ua/remote/dispatcher/state_purchase_view/15286229", "UA-2020-02-13-003511-c")</f>
        <v>UA-2020-02-13-003511-c</v>
      </c>
      <c r="C435" s="2" t="s">
        <v>1276</v>
      </c>
      <c r="D435" s="2" t="str">
        <f>HYPERLINK("https://my.zakupki.prom.ua/remote/dispatcher/state_contracting_view/3800391", "UA-2020-02-13-003511-c-c1")</f>
        <v>UA-2020-02-13-003511-c-c1</v>
      </c>
      <c r="E435" s="1" t="s">
        <v>730</v>
      </c>
      <c r="F435" s="1" t="s">
        <v>1254</v>
      </c>
      <c r="G435" s="1" t="s">
        <v>1254</v>
      </c>
      <c r="H435" s="1" t="s">
        <v>758</v>
      </c>
      <c r="I435" s="1" t="s">
        <v>1175</v>
      </c>
      <c r="J435" s="1" t="s">
        <v>1170</v>
      </c>
      <c r="K435" s="1" t="s">
        <v>407</v>
      </c>
      <c r="L435" s="1" t="s">
        <v>179</v>
      </c>
      <c r="M435" s="5">
        <v>70036.56</v>
      </c>
      <c r="N435" s="6">
        <v>43874</v>
      </c>
      <c r="O435" s="6">
        <v>44196</v>
      </c>
      <c r="P435" s="1" t="s">
        <v>1674</v>
      </c>
    </row>
    <row r="436" spans="1:16" hidden="1">
      <c r="A436" s="4">
        <v>519</v>
      </c>
      <c r="B436" s="2" t="str">
        <f>HYPERLINK("https://my.zakupki.prom.ua/remote/dispatcher/state_purchase_view/15378986", "UA-2020-02-19-004035-b")</f>
        <v>UA-2020-02-19-004035-b</v>
      </c>
      <c r="C436" s="2" t="s">
        <v>1276</v>
      </c>
      <c r="D436" s="2" t="str">
        <f>HYPERLINK("https://my.zakupki.prom.ua/remote/dispatcher/state_contracting_view/3825614", "UA-2020-02-19-004035-b-b1")</f>
        <v>UA-2020-02-19-004035-b-b1</v>
      </c>
      <c r="E436" s="1" t="s">
        <v>894</v>
      </c>
      <c r="F436" s="1" t="s">
        <v>1262</v>
      </c>
      <c r="G436" s="1" t="s">
        <v>1262</v>
      </c>
      <c r="H436" s="1" t="s">
        <v>658</v>
      </c>
      <c r="I436" s="1" t="s">
        <v>1175</v>
      </c>
      <c r="J436" s="1" t="s">
        <v>1625</v>
      </c>
      <c r="K436" s="1" t="s">
        <v>508</v>
      </c>
      <c r="L436" s="1" t="s">
        <v>245</v>
      </c>
      <c r="M436" s="5">
        <v>60984</v>
      </c>
      <c r="N436" s="6">
        <v>43880</v>
      </c>
      <c r="O436" s="6">
        <v>44196</v>
      </c>
      <c r="P436" s="1" t="s">
        <v>1674</v>
      </c>
    </row>
    <row r="437" spans="1:16" hidden="1">
      <c r="A437" s="4">
        <v>520</v>
      </c>
      <c r="B437" s="2" t="str">
        <f>HYPERLINK("https://my.zakupki.prom.ua/remote/dispatcher/state_purchase_view/18523835", "UA-2020-08-13-004257-a")</f>
        <v>UA-2020-08-13-004257-a</v>
      </c>
      <c r="C437" s="2" t="s">
        <v>1276</v>
      </c>
      <c r="D437" s="2" t="str">
        <f>HYPERLINK("https://my.zakupki.prom.ua/remote/dispatcher/state_contracting_view/5130074", "UA-2020-08-13-004257-a-a1")</f>
        <v>UA-2020-08-13-004257-a-a1</v>
      </c>
      <c r="E437" s="1" t="s">
        <v>678</v>
      </c>
      <c r="F437" s="1" t="s">
        <v>1313</v>
      </c>
      <c r="G437" s="1" t="s">
        <v>1313</v>
      </c>
      <c r="H437" s="1" t="s">
        <v>757</v>
      </c>
      <c r="I437" s="1" t="s">
        <v>1175</v>
      </c>
      <c r="J437" s="1" t="s">
        <v>1665</v>
      </c>
      <c r="K437" s="1" t="s">
        <v>394</v>
      </c>
      <c r="L437" s="1" t="s">
        <v>235</v>
      </c>
      <c r="M437" s="5">
        <v>2000</v>
      </c>
      <c r="N437" s="6">
        <v>44055</v>
      </c>
      <c r="O437" s="6">
        <v>44196</v>
      </c>
      <c r="P437" s="1" t="s">
        <v>1674</v>
      </c>
    </row>
    <row r="438" spans="1:16" hidden="1">
      <c r="A438" s="4">
        <v>521</v>
      </c>
      <c r="B438" s="2" t="str">
        <f>HYPERLINK("https://my.zakupki.prom.ua/remote/dispatcher/state_purchase_view/20984195", "UA-2020-11-11-009752-a")</f>
        <v>UA-2020-11-11-009752-a</v>
      </c>
      <c r="C438" s="2" t="s">
        <v>1276</v>
      </c>
      <c r="D438" s="2" t="str">
        <f>HYPERLINK("https://my.zakupki.prom.ua/remote/dispatcher/state_contracting_view/6300553", "UA-2020-11-11-009752-a-a1")</f>
        <v>UA-2020-11-11-009752-a-a1</v>
      </c>
      <c r="E438" s="1" t="s">
        <v>1049</v>
      </c>
      <c r="F438" s="1" t="s">
        <v>1349</v>
      </c>
      <c r="G438" s="1" t="s">
        <v>1350</v>
      </c>
      <c r="H438" s="1" t="s">
        <v>829</v>
      </c>
      <c r="I438" s="1" t="s">
        <v>1175</v>
      </c>
      <c r="J438" s="1" t="s">
        <v>1637</v>
      </c>
      <c r="K438" s="1" t="s">
        <v>562</v>
      </c>
      <c r="L438" s="1" t="s">
        <v>447</v>
      </c>
      <c r="M438" s="5">
        <v>243.6</v>
      </c>
      <c r="N438" s="6">
        <v>44144</v>
      </c>
      <c r="O438" s="6">
        <v>44189</v>
      </c>
      <c r="P438" s="1" t="s">
        <v>1674</v>
      </c>
    </row>
    <row r="439" spans="1:16" hidden="1">
      <c r="A439" s="4">
        <v>522</v>
      </c>
      <c r="B439" s="2" t="str">
        <f>HYPERLINK("https://my.zakupki.prom.ua/remote/dispatcher/state_purchase_view/18528348", "UA-2020-08-13-005424-a")</f>
        <v>UA-2020-08-13-005424-a</v>
      </c>
      <c r="C439" s="2" t="s">
        <v>1276</v>
      </c>
      <c r="D439" s="2" t="str">
        <f>HYPERLINK("https://my.zakupki.prom.ua/remote/dispatcher/state_contracting_view/5132976", "UA-2020-08-13-005424-a-a1")</f>
        <v>UA-2020-08-13-005424-a-a1</v>
      </c>
      <c r="E439" s="1" t="s">
        <v>942</v>
      </c>
      <c r="F439" s="1" t="s">
        <v>1603</v>
      </c>
      <c r="G439" s="1" t="s">
        <v>1603</v>
      </c>
      <c r="H439" s="1" t="s">
        <v>750</v>
      </c>
      <c r="I439" s="1" t="s">
        <v>1175</v>
      </c>
      <c r="J439" s="1" t="s">
        <v>1632</v>
      </c>
      <c r="K439" s="1" t="s">
        <v>544</v>
      </c>
      <c r="L439" s="1" t="s">
        <v>707</v>
      </c>
      <c r="M439" s="5">
        <v>8000</v>
      </c>
      <c r="N439" s="6">
        <v>44056</v>
      </c>
      <c r="O439" s="6">
        <v>44189</v>
      </c>
      <c r="P439" s="1" t="s">
        <v>1674</v>
      </c>
    </row>
    <row r="440" spans="1:16" hidden="1">
      <c r="A440" s="4">
        <v>523</v>
      </c>
      <c r="B440" s="2" t="str">
        <f>HYPERLINK("https://my.zakupki.prom.ua/remote/dispatcher/state_purchase_view/20029771", "UA-2020-10-12-003520-c")</f>
        <v>UA-2020-10-12-003520-c</v>
      </c>
      <c r="C440" s="2" t="s">
        <v>1276</v>
      </c>
      <c r="D440" s="2" t="str">
        <f>HYPERLINK("https://my.zakupki.prom.ua/remote/dispatcher/state_contracting_view/5841515", "UA-2020-10-12-003520-c-c1")</f>
        <v>UA-2020-10-12-003520-c-c1</v>
      </c>
      <c r="E440" s="1" t="s">
        <v>733</v>
      </c>
      <c r="F440" s="1" t="s">
        <v>1315</v>
      </c>
      <c r="G440" s="1" t="s">
        <v>1315</v>
      </c>
      <c r="H440" s="1" t="s">
        <v>830</v>
      </c>
      <c r="I440" s="1" t="s">
        <v>1175</v>
      </c>
      <c r="J440" s="1" t="s">
        <v>1144</v>
      </c>
      <c r="K440" s="1" t="s">
        <v>357</v>
      </c>
      <c r="L440" s="1" t="s">
        <v>188</v>
      </c>
      <c r="M440" s="5">
        <v>700</v>
      </c>
      <c r="N440" s="6">
        <v>44116</v>
      </c>
      <c r="O440" s="6">
        <v>44135</v>
      </c>
      <c r="P440" s="1" t="s">
        <v>1674</v>
      </c>
    </row>
    <row r="441" spans="1:16" hidden="1">
      <c r="A441" s="4">
        <v>524</v>
      </c>
      <c r="B441" s="2" t="str">
        <f>HYPERLINK("https://my.zakupki.prom.ua/remote/dispatcher/state_purchase_view/17929723", "UA-2020-07-16-005745-c")</f>
        <v>UA-2020-07-16-005745-c</v>
      </c>
      <c r="C441" s="2" t="s">
        <v>1276</v>
      </c>
      <c r="D441" s="2" t="str">
        <f>HYPERLINK("https://my.zakupki.prom.ua/remote/dispatcher/state_contracting_view/4856753", "UA-2020-07-16-005745-c-c1")</f>
        <v>UA-2020-07-16-005745-c-c1</v>
      </c>
      <c r="E441" s="1" t="s">
        <v>603</v>
      </c>
      <c r="F441" s="1" t="s">
        <v>1125</v>
      </c>
      <c r="G441" s="1" t="s">
        <v>1125</v>
      </c>
      <c r="H441" s="1" t="s">
        <v>480</v>
      </c>
      <c r="I441" s="1" t="s">
        <v>1175</v>
      </c>
      <c r="J441" s="1" t="s">
        <v>1626</v>
      </c>
      <c r="K441" s="1" t="s">
        <v>597</v>
      </c>
      <c r="L441" s="1" t="s">
        <v>237</v>
      </c>
      <c r="M441" s="5">
        <v>28372.799999999999</v>
      </c>
      <c r="N441" s="6">
        <v>44026</v>
      </c>
      <c r="O441" s="6">
        <v>44104</v>
      </c>
      <c r="P441" s="1" t="s">
        <v>1674</v>
      </c>
    </row>
    <row r="442" spans="1:16" hidden="1">
      <c r="A442" s="4">
        <v>525</v>
      </c>
      <c r="B442" s="2" t="str">
        <f>HYPERLINK("https://my.zakupki.prom.ua/remote/dispatcher/state_purchase_view/17926163", "UA-2020-07-16-004763-c")</f>
        <v>UA-2020-07-16-004763-c</v>
      </c>
      <c r="C442" s="2" t="s">
        <v>1276</v>
      </c>
      <c r="D442" s="2" t="str">
        <f>HYPERLINK("https://my.zakupki.prom.ua/remote/dispatcher/state_contracting_view/4850932", "UA-2020-07-16-004763-c-c1")</f>
        <v>UA-2020-07-16-004763-c-c1</v>
      </c>
      <c r="E442" s="1" t="s">
        <v>870</v>
      </c>
      <c r="F442" s="1" t="s">
        <v>1130</v>
      </c>
      <c r="G442" s="1" t="s">
        <v>1130</v>
      </c>
      <c r="H442" s="1" t="s">
        <v>480</v>
      </c>
      <c r="I442" s="1" t="s">
        <v>1175</v>
      </c>
      <c r="J442" s="1" t="s">
        <v>1626</v>
      </c>
      <c r="K442" s="1" t="s">
        <v>597</v>
      </c>
      <c r="L442" s="1" t="s">
        <v>241</v>
      </c>
      <c r="M442" s="5">
        <v>29538</v>
      </c>
      <c r="N442" s="6">
        <v>44026</v>
      </c>
      <c r="O442" s="6">
        <v>44104</v>
      </c>
      <c r="P442" s="1" t="s">
        <v>1676</v>
      </c>
    </row>
    <row r="443" spans="1:16" hidden="1">
      <c r="A443" s="4">
        <v>526</v>
      </c>
      <c r="B443" s="2" t="str">
        <f>HYPERLINK("https://my.zakupki.prom.ua/remote/dispatcher/state_purchase_view/17890316", "UA-2020-07-15-003700-c")</f>
        <v>UA-2020-07-15-003700-c</v>
      </c>
      <c r="C443" s="2" t="s">
        <v>1276</v>
      </c>
      <c r="D443" s="2" t="str">
        <f>HYPERLINK("https://my.zakupki.prom.ua/remote/dispatcher/state_contracting_view/4840625", "UA-2020-07-15-003700-c-c1")</f>
        <v>UA-2020-07-15-003700-c-c1</v>
      </c>
      <c r="E443" s="1" t="s">
        <v>405</v>
      </c>
      <c r="F443" s="1" t="s">
        <v>1132</v>
      </c>
      <c r="G443" s="1" t="s">
        <v>1132</v>
      </c>
      <c r="H443" s="1" t="s">
        <v>480</v>
      </c>
      <c r="I443" s="1" t="s">
        <v>1175</v>
      </c>
      <c r="J443" s="1" t="s">
        <v>1626</v>
      </c>
      <c r="K443" s="1" t="s">
        <v>597</v>
      </c>
      <c r="L443" s="1" t="s">
        <v>262</v>
      </c>
      <c r="M443" s="5">
        <v>15622.8</v>
      </c>
      <c r="N443" s="6">
        <v>44026</v>
      </c>
      <c r="O443" s="6">
        <v>44104</v>
      </c>
      <c r="P443" s="1" t="s">
        <v>1674</v>
      </c>
    </row>
    <row r="444" spans="1:16" hidden="1">
      <c r="A444" s="4">
        <v>527</v>
      </c>
      <c r="B444" s="2" t="str">
        <f>HYPERLINK("https://my.zakupki.prom.ua/remote/dispatcher/state_purchase_view/17892121", "UA-2020-07-15-004133-c")</f>
        <v>UA-2020-07-15-004133-c</v>
      </c>
      <c r="C444" s="2" t="s">
        <v>1276</v>
      </c>
      <c r="D444" s="2" t="str">
        <f>HYPERLINK("https://my.zakupki.prom.ua/remote/dispatcher/state_contracting_view/4840614", "UA-2020-07-15-004133-c-c1")</f>
        <v>UA-2020-07-15-004133-c-c1</v>
      </c>
      <c r="E444" s="1" t="s">
        <v>691</v>
      </c>
      <c r="F444" s="1" t="s">
        <v>1134</v>
      </c>
      <c r="G444" s="1" t="s">
        <v>1134</v>
      </c>
      <c r="H444" s="1" t="s">
        <v>480</v>
      </c>
      <c r="I444" s="1" t="s">
        <v>1175</v>
      </c>
      <c r="J444" s="1" t="s">
        <v>1626</v>
      </c>
      <c r="K444" s="1" t="s">
        <v>597</v>
      </c>
      <c r="L444" s="1" t="s">
        <v>233</v>
      </c>
      <c r="M444" s="5">
        <v>47253.599999999999</v>
      </c>
      <c r="N444" s="6">
        <v>44026</v>
      </c>
      <c r="O444" s="6">
        <v>44104</v>
      </c>
      <c r="P444" s="1" t="s">
        <v>1674</v>
      </c>
    </row>
    <row r="445" spans="1:16" hidden="1">
      <c r="A445" s="4">
        <v>528</v>
      </c>
      <c r="B445" s="2" t="str">
        <f>HYPERLINK("https://my.zakupki.prom.ua/remote/dispatcher/state_purchase_view/17883613", "UA-2020-07-15-001938-c")</f>
        <v>UA-2020-07-15-001938-c</v>
      </c>
      <c r="C445" s="2" t="s">
        <v>1276</v>
      </c>
      <c r="D445" s="2" t="str">
        <f>HYPERLINK("https://my.zakupki.prom.ua/remote/dispatcher/state_contracting_view/4833720", "UA-2020-07-15-001938-c-c1")</f>
        <v>UA-2020-07-15-001938-c-c1</v>
      </c>
      <c r="E445" s="1" t="s">
        <v>965</v>
      </c>
      <c r="F445" s="1" t="s">
        <v>1133</v>
      </c>
      <c r="G445" s="1" t="s">
        <v>1133</v>
      </c>
      <c r="H445" s="1" t="s">
        <v>480</v>
      </c>
      <c r="I445" s="1" t="s">
        <v>1175</v>
      </c>
      <c r="J445" s="1" t="s">
        <v>1626</v>
      </c>
      <c r="K445" s="1" t="s">
        <v>597</v>
      </c>
      <c r="L445" s="1" t="s">
        <v>238</v>
      </c>
      <c r="M445" s="5">
        <v>46819.199999999997</v>
      </c>
      <c r="N445" s="6">
        <v>44026</v>
      </c>
      <c r="O445" s="6">
        <v>44104</v>
      </c>
      <c r="P445" s="1" t="s">
        <v>1674</v>
      </c>
    </row>
    <row r="446" spans="1:16" hidden="1">
      <c r="A446" s="4">
        <v>529</v>
      </c>
      <c r="B446" s="2" t="str">
        <f>HYPERLINK("https://my.zakupki.prom.ua/remote/dispatcher/state_purchase_view/18308776", "UA-2020-08-04-007255-a")</f>
        <v>UA-2020-08-04-007255-a</v>
      </c>
      <c r="C446" s="2" t="s">
        <v>1276</v>
      </c>
      <c r="D446" s="2" t="str">
        <f>HYPERLINK("https://my.zakupki.prom.ua/remote/dispatcher/state_contracting_view/5029189", "UA-2020-08-04-007255-a-a1")</f>
        <v>UA-2020-08-04-007255-a-a1</v>
      </c>
      <c r="E446" s="1" t="s">
        <v>649</v>
      </c>
      <c r="F446" s="1" t="s">
        <v>1131</v>
      </c>
      <c r="G446" s="1" t="s">
        <v>1131</v>
      </c>
      <c r="H446" s="1" t="s">
        <v>480</v>
      </c>
      <c r="I446" s="1" t="s">
        <v>1175</v>
      </c>
      <c r="J446" s="1" t="s">
        <v>1626</v>
      </c>
      <c r="K446" s="1" t="s">
        <v>597</v>
      </c>
      <c r="L446" s="1" t="s">
        <v>241</v>
      </c>
      <c r="M446" s="5">
        <v>29538</v>
      </c>
      <c r="N446" s="6">
        <v>44043</v>
      </c>
      <c r="O446" s="6">
        <v>44104</v>
      </c>
      <c r="P446" s="1" t="s">
        <v>1674</v>
      </c>
    </row>
    <row r="447" spans="1:16" hidden="1">
      <c r="A447" s="4">
        <v>530</v>
      </c>
      <c r="B447" s="2" t="str">
        <f>HYPERLINK("https://my.zakupki.prom.ua/remote/dispatcher/state_purchase_view/17906079", "UA-2020-07-15-007880-c")</f>
        <v>UA-2020-07-15-007880-c</v>
      </c>
      <c r="C447" s="2" t="s">
        <v>1276</v>
      </c>
      <c r="D447" s="2" t="str">
        <f>HYPERLINK("https://my.zakupki.prom.ua/remote/dispatcher/state_contracting_view/4844499", "UA-2020-07-15-007880-c-c1")</f>
        <v>UA-2020-07-15-007880-c-c1</v>
      </c>
      <c r="E447" s="1" t="s">
        <v>292</v>
      </c>
      <c r="F447" s="1" t="s">
        <v>1128</v>
      </c>
      <c r="G447" s="1" t="s">
        <v>1128</v>
      </c>
      <c r="H447" s="1" t="s">
        <v>480</v>
      </c>
      <c r="I447" s="1" t="s">
        <v>1175</v>
      </c>
      <c r="J447" s="1" t="s">
        <v>1626</v>
      </c>
      <c r="K447" s="1" t="s">
        <v>597</v>
      </c>
      <c r="L447" s="1" t="s">
        <v>306</v>
      </c>
      <c r="M447" s="5">
        <v>48986.400000000001</v>
      </c>
      <c r="N447" s="6">
        <v>44026</v>
      </c>
      <c r="O447" s="6">
        <v>44104</v>
      </c>
      <c r="P447" s="1" t="s">
        <v>1674</v>
      </c>
    </row>
    <row r="448" spans="1:16" hidden="1">
      <c r="A448" s="4">
        <v>531</v>
      </c>
      <c r="B448" s="2" t="str">
        <f>HYPERLINK("https://my.zakupki.prom.ua/remote/dispatcher/state_purchase_view/17918163", "UA-2020-07-16-002573-c")</f>
        <v>UA-2020-07-16-002573-c</v>
      </c>
      <c r="C448" s="2" t="s">
        <v>1276</v>
      </c>
      <c r="D448" s="2" t="str">
        <f>HYPERLINK("https://my.zakupki.prom.ua/remote/dispatcher/state_contracting_view/4849223", "UA-2020-07-16-002573-c-c1")</f>
        <v>UA-2020-07-16-002573-c-c1</v>
      </c>
      <c r="E448" s="1" t="s">
        <v>365</v>
      </c>
      <c r="F448" s="1" t="s">
        <v>1129</v>
      </c>
      <c r="G448" s="1" t="s">
        <v>1129</v>
      </c>
      <c r="H448" s="1" t="s">
        <v>480</v>
      </c>
      <c r="I448" s="1" t="s">
        <v>1175</v>
      </c>
      <c r="J448" s="1" t="s">
        <v>1626</v>
      </c>
      <c r="K448" s="1" t="s">
        <v>597</v>
      </c>
      <c r="L448" s="1" t="s">
        <v>240</v>
      </c>
      <c r="M448" s="5">
        <v>49958.400000000001</v>
      </c>
      <c r="N448" s="6">
        <v>44026</v>
      </c>
      <c r="O448" s="6">
        <v>44104</v>
      </c>
      <c r="P448" s="1" t="s">
        <v>1674</v>
      </c>
    </row>
    <row r="449" spans="1:16" hidden="1">
      <c r="A449" s="4">
        <v>532</v>
      </c>
      <c r="B449" s="2" t="str">
        <f>HYPERLINK("https://my.zakupki.prom.ua/remote/dispatcher/state_purchase_view/16778221", "UA-2020-05-20-006546-c")</f>
        <v>UA-2020-05-20-006546-c</v>
      </c>
      <c r="C449" s="2" t="s">
        <v>1276</v>
      </c>
      <c r="D449" s="2" t="str">
        <f>HYPERLINK("https://my.zakupki.prom.ua/remote/dispatcher/state_contracting_view/4328234", "UA-2020-05-20-006546-c-c1")</f>
        <v>UA-2020-05-20-006546-c-c1</v>
      </c>
      <c r="E449" s="1" t="s">
        <v>1005</v>
      </c>
      <c r="F449" s="1" t="s">
        <v>1111</v>
      </c>
      <c r="G449" s="1" t="s">
        <v>1111</v>
      </c>
      <c r="H449" s="1" t="s">
        <v>750</v>
      </c>
      <c r="I449" s="1" t="s">
        <v>1175</v>
      </c>
      <c r="J449" s="1" t="s">
        <v>1106</v>
      </c>
      <c r="K449" s="1" t="s">
        <v>395</v>
      </c>
      <c r="L449" s="1" t="s">
        <v>282</v>
      </c>
      <c r="M449" s="5">
        <v>31480</v>
      </c>
      <c r="N449" s="6">
        <v>43971</v>
      </c>
      <c r="O449" s="6">
        <v>44074</v>
      </c>
      <c r="P449" s="1" t="s">
        <v>1676</v>
      </c>
    </row>
    <row r="450" spans="1:16" hidden="1">
      <c r="A450" s="4">
        <v>533</v>
      </c>
      <c r="B450" s="2" t="str">
        <f>HYPERLINK("https://my.zakupki.prom.ua/remote/dispatcher/state_purchase_view/16778354", "UA-2020-05-20-006578-c")</f>
        <v>UA-2020-05-20-006578-c</v>
      </c>
      <c r="C450" s="2" t="s">
        <v>1276</v>
      </c>
      <c r="D450" s="2" t="str">
        <f>HYPERLINK("https://my.zakupki.prom.ua/remote/dispatcher/state_contracting_view/4326087", "UA-2020-05-20-006578-c-c1")</f>
        <v>UA-2020-05-20-006578-c-c1</v>
      </c>
      <c r="E450" s="1" t="s">
        <v>967</v>
      </c>
      <c r="F450" s="1" t="s">
        <v>1112</v>
      </c>
      <c r="G450" s="1" t="s">
        <v>1112</v>
      </c>
      <c r="H450" s="1" t="s">
        <v>750</v>
      </c>
      <c r="I450" s="1" t="s">
        <v>1175</v>
      </c>
      <c r="J450" s="1" t="s">
        <v>1106</v>
      </c>
      <c r="K450" s="1" t="s">
        <v>395</v>
      </c>
      <c r="L450" s="1" t="s">
        <v>284</v>
      </c>
      <c r="M450" s="5">
        <v>32574.74</v>
      </c>
      <c r="N450" s="6">
        <v>43971</v>
      </c>
      <c r="O450" s="6">
        <v>44074</v>
      </c>
      <c r="P450" s="1" t="s">
        <v>1676</v>
      </c>
    </row>
    <row r="451" spans="1:16" hidden="1">
      <c r="A451" s="4">
        <v>534</v>
      </c>
      <c r="B451" s="2" t="str">
        <f>HYPERLINK("https://my.zakupki.prom.ua/remote/dispatcher/state_purchase_view/16778464", "UA-2020-05-20-006603-c")</f>
        <v>UA-2020-05-20-006603-c</v>
      </c>
      <c r="C451" s="2" t="s">
        <v>1276</v>
      </c>
      <c r="D451" s="2" t="str">
        <f>HYPERLINK("https://my.zakupki.prom.ua/remote/dispatcher/state_contracting_view/4328193", "UA-2020-05-20-006603-c-c1")</f>
        <v>UA-2020-05-20-006603-c-c1</v>
      </c>
      <c r="E451" s="1" t="s">
        <v>533</v>
      </c>
      <c r="F451" s="1" t="s">
        <v>1110</v>
      </c>
      <c r="G451" s="1" t="s">
        <v>1602</v>
      </c>
      <c r="H451" s="1" t="s">
        <v>750</v>
      </c>
      <c r="I451" s="1" t="s">
        <v>1175</v>
      </c>
      <c r="J451" s="1" t="s">
        <v>1106</v>
      </c>
      <c r="K451" s="1" t="s">
        <v>395</v>
      </c>
      <c r="L451" s="1" t="s">
        <v>279</v>
      </c>
      <c r="M451" s="5">
        <v>29837.89</v>
      </c>
      <c r="N451" s="6">
        <v>43971</v>
      </c>
      <c r="O451" s="6">
        <v>44074</v>
      </c>
      <c r="P451" s="1" t="s">
        <v>1674</v>
      </c>
    </row>
    <row r="452" spans="1:16" hidden="1">
      <c r="A452" s="4">
        <v>535</v>
      </c>
      <c r="B452" s="2" t="str">
        <f>HYPERLINK("https://my.zakupki.prom.ua/remote/dispatcher/state_purchase_view/18436776", "UA-2020-08-10-007237-a")</f>
        <v>UA-2020-08-10-007237-a</v>
      </c>
      <c r="C452" s="2" t="s">
        <v>1276</v>
      </c>
      <c r="D452" s="2" t="str">
        <f>HYPERLINK("https://my.zakupki.prom.ua/remote/dispatcher/state_contracting_view/5089441", "UA-2020-08-10-007237-a-a1")</f>
        <v>UA-2020-08-10-007237-a-a1</v>
      </c>
      <c r="E452" s="1" t="s">
        <v>770</v>
      </c>
      <c r="F452" s="1" t="s">
        <v>1114</v>
      </c>
      <c r="G452" s="1" t="s">
        <v>1113</v>
      </c>
      <c r="H452" s="1" t="s">
        <v>750</v>
      </c>
      <c r="I452" s="1" t="s">
        <v>1175</v>
      </c>
      <c r="J452" s="1" t="s">
        <v>1106</v>
      </c>
      <c r="K452" s="1" t="s">
        <v>395</v>
      </c>
      <c r="L452" s="1" t="s">
        <v>74</v>
      </c>
      <c r="M452" s="5">
        <v>4380</v>
      </c>
      <c r="N452" s="6">
        <v>44050</v>
      </c>
      <c r="O452" s="6">
        <v>44074</v>
      </c>
      <c r="P452" s="1" t="s">
        <v>1674</v>
      </c>
    </row>
    <row r="453" spans="1:16" hidden="1">
      <c r="A453" s="4">
        <v>536</v>
      </c>
      <c r="B453" s="2" t="str">
        <f>HYPERLINK("https://my.zakupki.prom.ua/remote/dispatcher/state_purchase_view/16778283", "UA-2020-05-20-006566-c")</f>
        <v>UA-2020-05-20-006566-c</v>
      </c>
      <c r="C453" s="2" t="s">
        <v>1276</v>
      </c>
      <c r="D453" s="2" t="str">
        <f>HYPERLINK("https://my.zakupki.prom.ua/remote/dispatcher/state_contracting_view/4328805", "UA-2020-05-20-006566-c-c1")</f>
        <v>UA-2020-05-20-006566-c-c1</v>
      </c>
      <c r="E453" s="1" t="s">
        <v>1015</v>
      </c>
      <c r="F453" s="1" t="s">
        <v>1111</v>
      </c>
      <c r="G453" s="1" t="s">
        <v>1111</v>
      </c>
      <c r="H453" s="1" t="s">
        <v>750</v>
      </c>
      <c r="I453" s="1" t="s">
        <v>1175</v>
      </c>
      <c r="J453" s="1" t="s">
        <v>1106</v>
      </c>
      <c r="K453" s="1" t="s">
        <v>395</v>
      </c>
      <c r="L453" s="1" t="s">
        <v>283</v>
      </c>
      <c r="M453" s="5">
        <v>32027.37</v>
      </c>
      <c r="N453" s="6">
        <v>43971</v>
      </c>
      <c r="O453" s="6">
        <v>44074</v>
      </c>
      <c r="P453" s="1" t="s">
        <v>1676</v>
      </c>
    </row>
    <row r="454" spans="1:16" hidden="1">
      <c r="A454" s="4">
        <v>537</v>
      </c>
      <c r="B454" s="2" t="str">
        <f>HYPERLINK("https://my.zakupki.prom.ua/remote/dispatcher/state_purchase_view/16770189", "UA-2020-05-20-004406-c")</f>
        <v>UA-2020-05-20-004406-c</v>
      </c>
      <c r="C454" s="2" t="s">
        <v>1276</v>
      </c>
      <c r="D454" s="2" t="str">
        <f>HYPERLINK("https://my.zakupki.prom.ua/remote/dispatcher/state_contracting_view/4320065", "UA-2020-05-20-004406-c-c1")</f>
        <v>UA-2020-05-20-004406-c-c1</v>
      </c>
      <c r="E454" s="1" t="s">
        <v>949</v>
      </c>
      <c r="F454" s="1" t="s">
        <v>1111</v>
      </c>
      <c r="G454" s="1" t="s">
        <v>1111</v>
      </c>
      <c r="H454" s="1" t="s">
        <v>750</v>
      </c>
      <c r="I454" s="1" t="s">
        <v>1175</v>
      </c>
      <c r="J454" s="1" t="s">
        <v>1106</v>
      </c>
      <c r="K454" s="1" t="s">
        <v>395</v>
      </c>
      <c r="L454" s="1" t="s">
        <v>280</v>
      </c>
      <c r="M454" s="5">
        <v>33669.47</v>
      </c>
      <c r="N454" s="6">
        <v>43971</v>
      </c>
      <c r="O454" s="6">
        <v>44074</v>
      </c>
      <c r="P454" s="1" t="s">
        <v>1676</v>
      </c>
    </row>
    <row r="455" spans="1:16" hidden="1">
      <c r="A455" s="4">
        <v>538</v>
      </c>
      <c r="B455" s="2" t="str">
        <f>HYPERLINK("https://my.zakupki.prom.ua/remote/dispatcher/state_purchase_view/16778135", "UA-2020-05-20-006528-c")</f>
        <v>UA-2020-05-20-006528-c</v>
      </c>
      <c r="C455" s="2" t="s">
        <v>1276</v>
      </c>
      <c r="D455" s="2" t="str">
        <f>HYPERLINK("https://my.zakupki.prom.ua/remote/dispatcher/state_contracting_view/4332175", "UA-2020-05-20-006528-c-c1")</f>
        <v>UA-2020-05-20-006528-c-c1</v>
      </c>
      <c r="E455" s="1" t="s">
        <v>912</v>
      </c>
      <c r="F455" s="1" t="s">
        <v>1111</v>
      </c>
      <c r="G455" s="1" t="s">
        <v>1111</v>
      </c>
      <c r="H455" s="1" t="s">
        <v>750</v>
      </c>
      <c r="I455" s="1" t="s">
        <v>1175</v>
      </c>
      <c r="J455" s="1" t="s">
        <v>1106</v>
      </c>
      <c r="K455" s="1" t="s">
        <v>395</v>
      </c>
      <c r="L455" s="1" t="s">
        <v>281</v>
      </c>
      <c r="M455" s="5">
        <v>33669.47</v>
      </c>
      <c r="N455" s="6">
        <v>43971</v>
      </c>
      <c r="O455" s="6">
        <v>44074</v>
      </c>
      <c r="P455" s="1" t="s">
        <v>1674</v>
      </c>
    </row>
    <row r="456" spans="1:16" hidden="1">
      <c r="A456" s="4">
        <v>539</v>
      </c>
      <c r="B456" s="2" t="str">
        <f>HYPERLINK("https://my.zakupki.prom.ua/remote/dispatcher/state_purchase_view/18109402", "UA-2020-07-24-007694-b")</f>
        <v>UA-2020-07-24-007694-b</v>
      </c>
      <c r="C456" s="2" t="s">
        <v>1276</v>
      </c>
      <c r="D456" s="2" t="str">
        <f>HYPERLINK("https://my.zakupki.prom.ua/remote/dispatcher/state_contracting_view/4940503", "UA-2020-07-24-007694-b-b1")</f>
        <v>UA-2020-07-24-007694-b-b1</v>
      </c>
      <c r="E456" s="1" t="s">
        <v>602</v>
      </c>
      <c r="F456" s="1" t="s">
        <v>1266</v>
      </c>
      <c r="G456" s="1" t="s">
        <v>1266</v>
      </c>
      <c r="H456" s="1" t="s">
        <v>752</v>
      </c>
      <c r="I456" s="1" t="s">
        <v>1175</v>
      </c>
      <c r="J456" s="1" t="s">
        <v>1147</v>
      </c>
      <c r="K456" s="1" t="s">
        <v>329</v>
      </c>
      <c r="L456" s="1" t="s">
        <v>73</v>
      </c>
      <c r="M456" s="5">
        <v>325.39</v>
      </c>
      <c r="N456" s="6">
        <v>44033</v>
      </c>
      <c r="O456" s="6">
        <v>44043</v>
      </c>
      <c r="P456" s="1" t="s">
        <v>1674</v>
      </c>
    </row>
    <row r="457" spans="1:16" hidden="1">
      <c r="A457" s="4">
        <v>540</v>
      </c>
      <c r="B457" s="2" t="str">
        <f>HYPERLINK("https://my.zakupki.prom.ua/remote/dispatcher/state_purchase_view/16682039", "UA-2020-05-14-005483-b")</f>
        <v>UA-2020-05-14-005483-b</v>
      </c>
      <c r="C457" s="2" t="s">
        <v>1276</v>
      </c>
      <c r="D457" s="2" t="str">
        <f>HYPERLINK("https://my.zakupki.prom.ua/remote/dispatcher/state_contracting_view/4279000", "UA-2020-05-14-005483-b-b1")</f>
        <v>UA-2020-05-14-005483-b-b1</v>
      </c>
      <c r="E457" s="1" t="s">
        <v>1027</v>
      </c>
      <c r="F457" s="1" t="s">
        <v>1249</v>
      </c>
      <c r="G457" s="1" t="s">
        <v>1249</v>
      </c>
      <c r="H457" s="1" t="s">
        <v>794</v>
      </c>
      <c r="I457" s="1" t="s">
        <v>1175</v>
      </c>
      <c r="J457" s="1" t="s">
        <v>1644</v>
      </c>
      <c r="K457" s="1" t="s">
        <v>595</v>
      </c>
      <c r="L457" s="1" t="s">
        <v>121</v>
      </c>
      <c r="M457" s="5">
        <v>10500</v>
      </c>
      <c r="N457" s="6">
        <v>43963</v>
      </c>
      <c r="O457" s="6">
        <v>43980</v>
      </c>
      <c r="P457" s="1" t="s">
        <v>1674</v>
      </c>
    </row>
    <row r="458" spans="1:16" hidden="1">
      <c r="A458" s="4">
        <v>541</v>
      </c>
      <c r="B458" s="2" t="str">
        <f>HYPERLINK("https://my.zakupki.prom.ua/remote/dispatcher/state_purchase_view/15015357", "UA-2020-01-31-004269-a")</f>
        <v>UA-2020-01-31-004269-a</v>
      </c>
      <c r="C458" s="2" t="s">
        <v>1276</v>
      </c>
      <c r="D458" s="2" t="str">
        <f>HYPERLINK("https://my.zakupki.prom.ua/remote/dispatcher/state_contracting_view/3731980", "UA-2020-01-31-004269-a-a1")</f>
        <v>UA-2020-01-31-004269-a-a1</v>
      </c>
      <c r="E458" s="1" t="s">
        <v>913</v>
      </c>
      <c r="F458" s="1" t="s">
        <v>1123</v>
      </c>
      <c r="G458" s="1" t="s">
        <v>1122</v>
      </c>
      <c r="H458" s="1" t="s">
        <v>666</v>
      </c>
      <c r="I458" s="1" t="s">
        <v>1175</v>
      </c>
      <c r="J458" s="1" t="s">
        <v>1170</v>
      </c>
      <c r="K458" s="1" t="s">
        <v>407</v>
      </c>
      <c r="L458" s="1" t="s">
        <v>456</v>
      </c>
      <c r="M458" s="5">
        <v>49970.99</v>
      </c>
      <c r="N458" s="6">
        <v>43861</v>
      </c>
      <c r="O458" s="6">
        <v>43921</v>
      </c>
      <c r="P458" s="1" t="s">
        <v>1674</v>
      </c>
    </row>
    <row r="459" spans="1:16" hidden="1">
      <c r="A459" s="4">
        <v>542</v>
      </c>
      <c r="B459" s="2" t="str">
        <f>HYPERLINK("https://my.zakupki.prom.ua/remote/dispatcher/state_purchase_view/11823680", "UA-2019-06-05-001362-b")</f>
        <v>UA-2019-06-05-001362-b</v>
      </c>
      <c r="C459" s="2" t="s">
        <v>1276</v>
      </c>
      <c r="D459" s="2" t="str">
        <f>HYPERLINK("https://my.zakupki.prom.ua/remote/dispatcher/state_contracting_view/2864806", "UA-2019-06-05-001362-b-b1")</f>
        <v>UA-2019-06-05-001362-b-b1</v>
      </c>
      <c r="E459" s="1" t="s">
        <v>980</v>
      </c>
      <c r="F459" s="1" t="s">
        <v>1268</v>
      </c>
      <c r="G459" s="1" t="s">
        <v>1267</v>
      </c>
      <c r="H459" s="1" t="s">
        <v>749</v>
      </c>
      <c r="I459" s="1" t="s">
        <v>1175</v>
      </c>
      <c r="J459" s="1" t="s">
        <v>1291</v>
      </c>
      <c r="K459" s="1" t="s">
        <v>445</v>
      </c>
      <c r="L459" s="1" t="s">
        <v>491</v>
      </c>
      <c r="M459" s="5">
        <v>129768.12</v>
      </c>
      <c r="N459" s="6">
        <v>43621</v>
      </c>
      <c r="O459" s="6">
        <v>43830</v>
      </c>
      <c r="P459" s="1" t="s">
        <v>1674</v>
      </c>
    </row>
    <row r="460" spans="1:16" hidden="1">
      <c r="A460" s="4">
        <v>543</v>
      </c>
      <c r="B460" s="2" t="str">
        <f>HYPERLINK("https://my.zakupki.prom.ua/remote/dispatcher/state_purchase_view/13139129", "UA-2019-10-10-002367-b")</f>
        <v>UA-2019-10-10-002367-b</v>
      </c>
      <c r="C460" s="2" t="s">
        <v>1276</v>
      </c>
      <c r="D460" s="2" t="str">
        <f>HYPERLINK("https://my.zakupki.prom.ua/remote/dispatcher/state_contracting_view/3255996", "UA-2019-10-10-002367-b-b1")</f>
        <v>UA-2019-10-10-002367-b-b1</v>
      </c>
      <c r="E460" s="1" t="s">
        <v>1045</v>
      </c>
      <c r="F460" s="1" t="s">
        <v>1261</v>
      </c>
      <c r="G460" s="1" t="s">
        <v>1269</v>
      </c>
      <c r="H460" s="1" t="s">
        <v>659</v>
      </c>
      <c r="I460" s="1" t="s">
        <v>1175</v>
      </c>
      <c r="J460" s="1" t="s">
        <v>1170</v>
      </c>
      <c r="K460" s="1" t="s">
        <v>407</v>
      </c>
      <c r="L460" s="1" t="s">
        <v>146</v>
      </c>
      <c r="M460" s="5">
        <v>65462.400000000001</v>
      </c>
      <c r="N460" s="6">
        <v>43749</v>
      </c>
      <c r="O460" s="6">
        <v>43830</v>
      </c>
      <c r="P460" s="1" t="s">
        <v>1674</v>
      </c>
    </row>
    <row r="461" spans="1:16" hidden="1">
      <c r="A461" s="4">
        <v>544</v>
      </c>
      <c r="B461" s="2" t="str">
        <f>HYPERLINK("https://my.zakupki.prom.ua/remote/dispatcher/state_purchase_view/11715457", "UA-2019-05-27-000265-a")</f>
        <v>UA-2019-05-27-000265-a</v>
      </c>
      <c r="C461" s="2" t="s">
        <v>1276</v>
      </c>
      <c r="D461" s="2" t="str">
        <f>HYPERLINK("https://my.zakupki.prom.ua/remote/dispatcher/state_contracting_view/2831417", "UA-2019-05-27-000265-a-a1")</f>
        <v>UA-2019-05-27-000265-a-a1</v>
      </c>
      <c r="E461" s="1" t="s">
        <v>989</v>
      </c>
      <c r="F461" s="1" t="s">
        <v>1177</v>
      </c>
      <c r="G461" s="1" t="s">
        <v>1178</v>
      </c>
      <c r="H461" s="1" t="s">
        <v>543</v>
      </c>
      <c r="I461" s="1" t="s">
        <v>1175</v>
      </c>
      <c r="J461" s="1" t="s">
        <v>1293</v>
      </c>
      <c r="K461" s="1" t="s">
        <v>327</v>
      </c>
      <c r="L461" s="1" t="s">
        <v>248</v>
      </c>
      <c r="M461" s="5">
        <v>104325</v>
      </c>
      <c r="N461" s="6">
        <v>43612</v>
      </c>
      <c r="O461" s="6">
        <v>43830</v>
      </c>
      <c r="P461" s="1" t="s">
        <v>1674</v>
      </c>
    </row>
    <row r="462" spans="1:16" hidden="1">
      <c r="A462" s="4">
        <v>545</v>
      </c>
      <c r="B462" s="2" t="str">
        <f>HYPERLINK("https://my.zakupki.prom.ua/remote/dispatcher/state_purchase_view/13688016", "UA-2019-11-22-001611-b")</f>
        <v>UA-2019-11-22-001611-b</v>
      </c>
      <c r="C462" s="2" t="s">
        <v>1276</v>
      </c>
      <c r="D462" s="2" t="str">
        <f>HYPERLINK("https://my.zakupki.prom.ua/remote/dispatcher/state_contracting_view/3475527", "UA-2019-11-22-001611-b-b1")</f>
        <v>UA-2019-11-22-001611-b-b1</v>
      </c>
      <c r="E462" s="1" t="s">
        <v>13</v>
      </c>
      <c r="F462" s="1" t="s">
        <v>1354</v>
      </c>
      <c r="G462" s="1" t="s">
        <v>1355</v>
      </c>
      <c r="H462" s="1" t="s">
        <v>497</v>
      </c>
      <c r="I462" s="1" t="s">
        <v>1303</v>
      </c>
      <c r="J462" s="1" t="s">
        <v>1296</v>
      </c>
      <c r="K462" s="1" t="s">
        <v>4</v>
      </c>
      <c r="L462" s="1" t="s">
        <v>771</v>
      </c>
      <c r="M462" s="5">
        <v>862548.4</v>
      </c>
      <c r="N462" s="6">
        <v>43808</v>
      </c>
      <c r="O462" s="6">
        <v>43830</v>
      </c>
      <c r="P462" s="1" t="s">
        <v>1674</v>
      </c>
    </row>
    <row r="463" spans="1:16" hidden="1">
      <c r="A463" s="4">
        <v>546</v>
      </c>
      <c r="B463" s="2" t="str">
        <f>HYPERLINK("https://my.zakupki.prom.ua/remote/dispatcher/state_purchase_view/12144016", "UA-2019-07-11-002170-b")</f>
        <v>UA-2019-07-11-002170-b</v>
      </c>
      <c r="C463" s="2" t="s">
        <v>1276</v>
      </c>
      <c r="D463" s="2" t="str">
        <f>HYPERLINK("https://my.zakupki.prom.ua/remote/dispatcher/state_contracting_view/3067902", "UA-2019-07-11-002170-b-b1")</f>
        <v>UA-2019-07-11-002170-b-b1</v>
      </c>
      <c r="E463" s="1" t="s">
        <v>1054</v>
      </c>
      <c r="F463" s="1" t="s">
        <v>1145</v>
      </c>
      <c r="G463" s="1" t="s">
        <v>1165</v>
      </c>
      <c r="H463" s="1" t="s">
        <v>543</v>
      </c>
      <c r="I463" s="1" t="s">
        <v>1135</v>
      </c>
      <c r="J463" s="1" t="s">
        <v>1231</v>
      </c>
      <c r="K463" s="1" t="s">
        <v>327</v>
      </c>
      <c r="L463" s="1" t="s">
        <v>664</v>
      </c>
      <c r="M463" s="5">
        <v>249966</v>
      </c>
      <c r="N463" s="6">
        <v>43689</v>
      </c>
      <c r="O463" s="6">
        <v>43738</v>
      </c>
      <c r="P463" s="1" t="s">
        <v>1674</v>
      </c>
    </row>
    <row r="464" spans="1:16" hidden="1">
      <c r="A464" s="4">
        <v>547</v>
      </c>
      <c r="B464" s="2" t="str">
        <f>HYPERLINK("https://my.zakupki.prom.ua/remote/dispatcher/state_purchase_view/11170288", "UA-2019-04-03-002134-a")</f>
        <v>UA-2019-04-03-002134-a</v>
      </c>
      <c r="C464" s="2" t="s">
        <v>1276</v>
      </c>
      <c r="D464" s="2" t="str">
        <f>HYPERLINK("https://my.zakupki.prom.ua/remote/dispatcher/state_contracting_view/2671996", "UA-2019-04-03-002134-a-a1")</f>
        <v>UA-2019-04-03-002134-a-a1</v>
      </c>
      <c r="E464" s="1" t="s">
        <v>916</v>
      </c>
      <c r="F464" s="1" t="s">
        <v>1311</v>
      </c>
      <c r="G464" s="1" t="s">
        <v>1311</v>
      </c>
      <c r="H464" s="1" t="s">
        <v>480</v>
      </c>
      <c r="I464" s="1" t="s">
        <v>1175</v>
      </c>
      <c r="J464" s="1" t="s">
        <v>1625</v>
      </c>
      <c r="K464" s="1" t="s">
        <v>508</v>
      </c>
      <c r="L464" s="1" t="s">
        <v>232</v>
      </c>
      <c r="M464" s="5">
        <v>288706.8</v>
      </c>
      <c r="N464" s="6">
        <v>43557</v>
      </c>
      <c r="O464" s="6">
        <v>43646</v>
      </c>
      <c r="P464" s="1" t="s">
        <v>1674</v>
      </c>
    </row>
    <row r="465" spans="1:16" hidden="1">
      <c r="A465" s="4">
        <v>548</v>
      </c>
      <c r="B465" s="2" t="str">
        <f>HYPERLINK("https://my.zakupki.prom.ua/remote/dispatcher/state_purchase_view/11170610", "UA-2019-04-03-002297-a")</f>
        <v>UA-2019-04-03-002297-a</v>
      </c>
      <c r="C465" s="2" t="s">
        <v>1276</v>
      </c>
      <c r="D465" s="2" t="str">
        <f>HYPERLINK("https://my.zakupki.prom.ua/remote/dispatcher/state_contracting_view/2672224", "UA-2019-04-03-002297-a-a1")</f>
        <v>UA-2019-04-03-002297-a-a1</v>
      </c>
      <c r="E465" s="1" t="s">
        <v>842</v>
      </c>
      <c r="F465" s="1" t="s">
        <v>1104</v>
      </c>
      <c r="G465" s="1" t="s">
        <v>1104</v>
      </c>
      <c r="H465" s="1" t="s">
        <v>480</v>
      </c>
      <c r="I465" s="1" t="s">
        <v>1175</v>
      </c>
      <c r="J465" s="1" t="s">
        <v>1625</v>
      </c>
      <c r="K465" s="1" t="s">
        <v>508</v>
      </c>
      <c r="L465" s="1" t="s">
        <v>285</v>
      </c>
      <c r="M465" s="5">
        <v>159828</v>
      </c>
      <c r="N465" s="6">
        <v>43557</v>
      </c>
      <c r="O465" s="6">
        <v>43646</v>
      </c>
      <c r="P465" s="1" t="s">
        <v>1674</v>
      </c>
    </row>
    <row r="466" spans="1:16" hidden="1">
      <c r="A466" s="4">
        <v>549</v>
      </c>
      <c r="B466" s="2" t="str">
        <f>HYPERLINK("https://my.zakupki.prom.ua/remote/dispatcher/state_purchase_view/11170707", "UA-2019-04-03-002364-a")</f>
        <v>UA-2019-04-03-002364-a</v>
      </c>
      <c r="C466" s="2" t="s">
        <v>1276</v>
      </c>
      <c r="D466" s="2" t="str">
        <f>HYPERLINK("https://my.zakupki.prom.ua/remote/dispatcher/state_contracting_view/2672310", "UA-2019-04-03-002364-a-a1")</f>
        <v>UA-2019-04-03-002364-a-a1</v>
      </c>
      <c r="E466" s="1" t="s">
        <v>590</v>
      </c>
      <c r="F466" s="1" t="s">
        <v>1102</v>
      </c>
      <c r="G466" s="1" t="s">
        <v>1102</v>
      </c>
      <c r="H466" s="1" t="s">
        <v>480</v>
      </c>
      <c r="I466" s="1" t="s">
        <v>1175</v>
      </c>
      <c r="J466" s="1" t="s">
        <v>1625</v>
      </c>
      <c r="K466" s="1" t="s">
        <v>508</v>
      </c>
      <c r="L466" s="1" t="s">
        <v>291</v>
      </c>
      <c r="M466" s="5">
        <v>116202</v>
      </c>
      <c r="N466" s="6">
        <v>43557</v>
      </c>
      <c r="O466" s="6">
        <v>43646</v>
      </c>
      <c r="P466" s="1" t="s">
        <v>1674</v>
      </c>
    </row>
    <row r="467" spans="1:16" hidden="1">
      <c r="A467" s="4">
        <v>550</v>
      </c>
      <c r="B467" s="2" t="str">
        <f>HYPERLINK("https://my.zakupki.prom.ua/remote/dispatcher/state_purchase_view/11172035", "UA-2019-04-03-002423-a")</f>
        <v>UA-2019-04-03-002423-a</v>
      </c>
      <c r="C467" s="2" t="s">
        <v>1276</v>
      </c>
      <c r="D467" s="2" t="str">
        <f>HYPERLINK("https://my.zakupki.prom.ua/remote/dispatcher/state_contracting_view/2672386", "UA-2019-04-03-002423-a-a1")</f>
        <v>UA-2019-04-03-002423-a-a1</v>
      </c>
      <c r="E467" s="1" t="s">
        <v>890</v>
      </c>
      <c r="F467" s="1" t="s">
        <v>1310</v>
      </c>
      <c r="G467" s="1" t="s">
        <v>1310</v>
      </c>
      <c r="H467" s="1" t="s">
        <v>480</v>
      </c>
      <c r="I467" s="1" t="s">
        <v>1175</v>
      </c>
      <c r="J467" s="1" t="s">
        <v>1625</v>
      </c>
      <c r="K467" s="1" t="s">
        <v>508</v>
      </c>
      <c r="L467" s="1" t="s">
        <v>249</v>
      </c>
      <c r="M467" s="5">
        <v>258542.4</v>
      </c>
      <c r="N467" s="6">
        <v>43557</v>
      </c>
      <c r="O467" s="6">
        <v>43646</v>
      </c>
      <c r="P467" s="1" t="s">
        <v>1674</v>
      </c>
    </row>
    <row r="468" spans="1:16" hidden="1">
      <c r="A468" s="4">
        <v>551</v>
      </c>
      <c r="B468" s="2" t="str">
        <f>HYPERLINK("https://my.zakupki.prom.ua/remote/dispatcher/state_purchase_view/11172136", "UA-2019-04-03-002455-a")</f>
        <v>UA-2019-04-03-002455-a</v>
      </c>
      <c r="C468" s="2" t="s">
        <v>1276</v>
      </c>
      <c r="D468" s="2" t="str">
        <f>HYPERLINK("https://my.zakupki.prom.ua/remote/dispatcher/state_contracting_view/2672422", "UA-2019-04-03-002455-a-a1")</f>
        <v>UA-2019-04-03-002455-a-a1</v>
      </c>
      <c r="E468" s="1" t="s">
        <v>925</v>
      </c>
      <c r="F468" s="1" t="s">
        <v>1101</v>
      </c>
      <c r="G468" s="1" t="s">
        <v>1101</v>
      </c>
      <c r="H468" s="1" t="s">
        <v>480</v>
      </c>
      <c r="I468" s="1" t="s">
        <v>1175</v>
      </c>
      <c r="J468" s="1" t="s">
        <v>1625</v>
      </c>
      <c r="K468" s="1" t="s">
        <v>508</v>
      </c>
      <c r="L468" s="1" t="s">
        <v>295</v>
      </c>
      <c r="M468" s="5">
        <v>220363.2</v>
      </c>
      <c r="N468" s="6">
        <v>43557</v>
      </c>
      <c r="O468" s="6">
        <v>43646</v>
      </c>
      <c r="P468" s="1" t="s">
        <v>1674</v>
      </c>
    </row>
    <row r="469" spans="1:16" hidden="1">
      <c r="A469" s="4">
        <v>552</v>
      </c>
      <c r="B469" s="2" t="str">
        <f>HYPERLINK("https://my.zakupki.prom.ua/remote/dispatcher/state_purchase_view/11170500", "UA-2019-04-03-002256-a")</f>
        <v>UA-2019-04-03-002256-a</v>
      </c>
      <c r="C469" s="2" t="s">
        <v>1276</v>
      </c>
      <c r="D469" s="2" t="str">
        <f>HYPERLINK("https://my.zakupki.prom.ua/remote/dispatcher/state_contracting_view/2672162", "UA-2019-04-03-002256-a-a1")</f>
        <v>UA-2019-04-03-002256-a-a1</v>
      </c>
      <c r="E469" s="1" t="s">
        <v>642</v>
      </c>
      <c r="F469" s="1" t="s">
        <v>1309</v>
      </c>
      <c r="G469" s="1" t="s">
        <v>1308</v>
      </c>
      <c r="H469" s="1" t="s">
        <v>480</v>
      </c>
      <c r="I469" s="1" t="s">
        <v>1175</v>
      </c>
      <c r="J469" s="1" t="s">
        <v>1625</v>
      </c>
      <c r="K469" s="1" t="s">
        <v>508</v>
      </c>
      <c r="L469" s="1" t="s">
        <v>239</v>
      </c>
      <c r="M469" s="5">
        <v>269442</v>
      </c>
      <c r="N469" s="6">
        <v>43557</v>
      </c>
      <c r="O469" s="6">
        <v>43646</v>
      </c>
      <c r="P469" s="1" t="s">
        <v>1674</v>
      </c>
    </row>
    <row r="470" spans="1:16" hidden="1">
      <c r="A470" s="4">
        <v>553</v>
      </c>
      <c r="B470" s="2" t="str">
        <f>HYPERLINK("https://my.zakupki.prom.ua/remote/dispatcher/state_purchase_view/8910806", "UA-2018-11-15-003781-a")</f>
        <v>UA-2018-11-15-003781-a</v>
      </c>
      <c r="C470" s="2" t="s">
        <v>1276</v>
      </c>
      <c r="D470" s="2" t="str">
        <f>HYPERLINK("https://my.zakupki.prom.ua/remote/dispatcher/state_contracting_view/2134077", "UA-2018-11-15-003781-a-a1")</f>
        <v>UA-2018-11-15-003781-a-a1</v>
      </c>
      <c r="E470" s="1" t="s">
        <v>815</v>
      </c>
      <c r="F470" s="1" t="s">
        <v>1307</v>
      </c>
      <c r="G470" s="1" t="s">
        <v>1307</v>
      </c>
      <c r="H470" s="1" t="s">
        <v>480</v>
      </c>
      <c r="I470" s="1" t="s">
        <v>1175</v>
      </c>
      <c r="J470" s="1" t="s">
        <v>1625</v>
      </c>
      <c r="K470" s="1" t="s">
        <v>508</v>
      </c>
      <c r="L470" s="1" t="s">
        <v>236</v>
      </c>
      <c r="M470" s="5">
        <v>228188.4</v>
      </c>
      <c r="N470" s="6">
        <v>43419</v>
      </c>
      <c r="O470" s="6">
        <v>43465</v>
      </c>
      <c r="P470" s="1" t="s">
        <v>1674</v>
      </c>
    </row>
    <row r="471" spans="1:16" hidden="1">
      <c r="A471" s="4">
        <v>554</v>
      </c>
      <c r="B471" s="2" t="str">
        <f>HYPERLINK("https://my.zakupki.prom.ua/remote/dispatcher/state_purchase_view/9484760", "UA-2018-12-20-003711-a")</f>
        <v>UA-2018-12-20-003711-a</v>
      </c>
      <c r="C471" s="2" t="s">
        <v>1276</v>
      </c>
      <c r="D471" s="2" t="str">
        <f>HYPERLINK("https://my.zakupki.prom.ua/remote/dispatcher/state_contracting_view/2298501", "UA-2018-12-20-003711-a-a1")</f>
        <v>UA-2018-12-20-003711-a-a1</v>
      </c>
      <c r="E471" s="1" t="s">
        <v>700</v>
      </c>
      <c r="F471" s="1" t="s">
        <v>1373</v>
      </c>
      <c r="G471" s="1" t="s">
        <v>1373</v>
      </c>
      <c r="H471" s="1" t="s">
        <v>524</v>
      </c>
      <c r="I471" s="1" t="s">
        <v>1175</v>
      </c>
      <c r="J471" s="1" t="s">
        <v>1205</v>
      </c>
      <c r="K471" s="1" t="s">
        <v>420</v>
      </c>
      <c r="L471" s="1" t="s">
        <v>180</v>
      </c>
      <c r="M471" s="5">
        <v>199940</v>
      </c>
      <c r="N471" s="6">
        <v>43454</v>
      </c>
      <c r="O471" s="6">
        <v>43465</v>
      </c>
      <c r="P471" s="1" t="s">
        <v>1674</v>
      </c>
    </row>
    <row r="472" spans="1:16" hidden="1">
      <c r="A472" s="4">
        <v>555</v>
      </c>
      <c r="B472" s="2" t="str">
        <f>HYPERLINK("https://my.zakupki.prom.ua/remote/dispatcher/state_purchase_view/6490515", "UA-2018-03-13-002489-c")</f>
        <v>UA-2018-03-13-002489-c</v>
      </c>
      <c r="C472" s="2" t="s">
        <v>1276</v>
      </c>
      <c r="D472" s="2" t="str">
        <f>HYPERLINK("https://my.zakupki.prom.ua/remote/dispatcher/state_contracting_view/1434339", "UA-2018-03-13-002489-c-c1")</f>
        <v>UA-2018-03-13-002489-c-c1</v>
      </c>
      <c r="E472" s="1" t="s">
        <v>768</v>
      </c>
      <c r="F472" s="1" t="s">
        <v>1542</v>
      </c>
      <c r="G472" s="1" t="s">
        <v>1542</v>
      </c>
      <c r="H472" s="1" t="s">
        <v>656</v>
      </c>
      <c r="I472" s="1" t="s">
        <v>1175</v>
      </c>
      <c r="J472" s="1" t="s">
        <v>1226</v>
      </c>
      <c r="K472" s="1" t="s">
        <v>330</v>
      </c>
      <c r="L472" s="1" t="s">
        <v>641</v>
      </c>
      <c r="M472" s="5">
        <v>51549</v>
      </c>
      <c r="N472" s="6">
        <v>43140</v>
      </c>
      <c r="O472" s="6">
        <v>43465</v>
      </c>
      <c r="P472" s="1" t="s">
        <v>1674</v>
      </c>
    </row>
    <row r="473" spans="1:16" hidden="1">
      <c r="A473" s="4">
        <v>556</v>
      </c>
      <c r="B473" s="2" t="str">
        <f>HYPERLINK("https://my.zakupki.prom.ua/remote/dispatcher/state_purchase_view/8909742", "UA-2018-11-15-003722-a")</f>
        <v>UA-2018-11-15-003722-a</v>
      </c>
      <c r="C473" s="2" t="s">
        <v>1276</v>
      </c>
      <c r="D473" s="2" t="str">
        <f>HYPERLINK("https://my.zakupki.prom.ua/remote/dispatcher/state_contracting_view/2134015", "UA-2018-11-15-003722-a-a1")</f>
        <v>UA-2018-11-15-003722-a-a1</v>
      </c>
      <c r="E473" s="1" t="s">
        <v>785</v>
      </c>
      <c r="F473" s="1" t="s">
        <v>1103</v>
      </c>
      <c r="G473" s="1" t="s">
        <v>1103</v>
      </c>
      <c r="H473" s="1" t="s">
        <v>480</v>
      </c>
      <c r="I473" s="1" t="s">
        <v>1175</v>
      </c>
      <c r="J473" s="1" t="s">
        <v>1625</v>
      </c>
      <c r="K473" s="1" t="s">
        <v>508</v>
      </c>
      <c r="L473" s="1" t="s">
        <v>261</v>
      </c>
      <c r="M473" s="5">
        <v>245701.2</v>
      </c>
      <c r="N473" s="6">
        <v>43419</v>
      </c>
      <c r="O473" s="6">
        <v>43465</v>
      </c>
      <c r="P473" s="1" t="s">
        <v>1674</v>
      </c>
    </row>
    <row r="474" spans="1:16" hidden="1">
      <c r="A474" s="4">
        <v>557</v>
      </c>
      <c r="B474" s="2" t="str">
        <f>HYPERLINK("https://my.zakupki.prom.ua/remote/dispatcher/state_purchase_view/9044538", "UA-2018-11-26-002650-c")</f>
        <v>UA-2018-11-26-002650-c</v>
      </c>
      <c r="C474" s="2" t="s">
        <v>1276</v>
      </c>
      <c r="D474" s="2" t="str">
        <f>HYPERLINK("https://my.zakupki.prom.ua/remote/dispatcher/state_contracting_view/2170807", "UA-2018-11-26-002650-c-c1")</f>
        <v>UA-2018-11-26-002650-c-c1</v>
      </c>
      <c r="E474" s="1" t="s">
        <v>313</v>
      </c>
      <c r="F474" s="1" t="s">
        <v>1099</v>
      </c>
      <c r="G474" s="1" t="s">
        <v>1099</v>
      </c>
      <c r="H474" s="1" t="s">
        <v>480</v>
      </c>
      <c r="I474" s="1" t="s">
        <v>1175</v>
      </c>
      <c r="J474" s="1" t="s">
        <v>1625</v>
      </c>
      <c r="K474" s="1" t="s">
        <v>508</v>
      </c>
      <c r="L474" s="1" t="s">
        <v>304</v>
      </c>
      <c r="M474" s="5">
        <v>286570.8</v>
      </c>
      <c r="N474" s="6">
        <v>43430</v>
      </c>
      <c r="O474" s="6">
        <v>43454</v>
      </c>
      <c r="P474" s="1" t="s">
        <v>1674</v>
      </c>
    </row>
    <row r="475" spans="1:16" hidden="1">
      <c r="A475" s="4">
        <v>558</v>
      </c>
      <c r="B475" s="2" t="str">
        <f>HYPERLINK("https://my.zakupki.prom.ua/remote/dispatcher/state_purchase_view/6847704", "UA-2018-04-17-000943-a")</f>
        <v>UA-2018-04-17-000943-a</v>
      </c>
      <c r="C475" s="2" t="s">
        <v>1276</v>
      </c>
      <c r="D475" s="2" t="str">
        <f>HYPERLINK("https://my.zakupki.prom.ua/remote/dispatcher/state_contracting_view/1530246", "UA-2018-04-17-000943-a-a1")</f>
        <v>UA-2018-04-17-000943-a-a1</v>
      </c>
      <c r="E475" s="1" t="s">
        <v>677</v>
      </c>
      <c r="F475" s="1" t="s">
        <v>1096</v>
      </c>
      <c r="G475" s="1" t="s">
        <v>1096</v>
      </c>
      <c r="H475" s="1" t="s">
        <v>480</v>
      </c>
      <c r="I475" s="1" t="s">
        <v>1175</v>
      </c>
      <c r="J475" s="1" t="s">
        <v>1625</v>
      </c>
      <c r="K475" s="1" t="s">
        <v>508</v>
      </c>
      <c r="L475" s="1" t="s">
        <v>218</v>
      </c>
      <c r="M475" s="5">
        <v>219814.8</v>
      </c>
      <c r="N475" s="6">
        <v>43207</v>
      </c>
      <c r="O475" s="6">
        <v>43297</v>
      </c>
      <c r="P475" s="1" t="s">
        <v>1674</v>
      </c>
    </row>
    <row r="476" spans="1:16" hidden="1">
      <c r="A476" s="4">
        <v>559</v>
      </c>
      <c r="B476" s="2" t="str">
        <f>HYPERLINK("https://my.zakupki.prom.ua/remote/dispatcher/state_purchase_view/6848938", "UA-2018-04-17-001353-a")</f>
        <v>UA-2018-04-17-001353-a</v>
      </c>
      <c r="C476" s="2" t="s">
        <v>1276</v>
      </c>
      <c r="D476" s="2" t="str">
        <f>HYPERLINK("https://my.zakupki.prom.ua/remote/dispatcher/state_contracting_view/1530714", "UA-2018-04-17-001353-a-a1")</f>
        <v>UA-2018-04-17-001353-a-a1</v>
      </c>
      <c r="E476" s="1" t="s">
        <v>999</v>
      </c>
      <c r="F476" s="1" t="s">
        <v>1100</v>
      </c>
      <c r="G476" s="1" t="s">
        <v>1100</v>
      </c>
      <c r="H476" s="1" t="s">
        <v>480</v>
      </c>
      <c r="I476" s="1" t="s">
        <v>1175</v>
      </c>
      <c r="J476" s="1" t="s">
        <v>1625</v>
      </c>
      <c r="K476" s="1" t="s">
        <v>508</v>
      </c>
      <c r="L476" s="1" t="s">
        <v>305</v>
      </c>
      <c r="M476" s="5">
        <v>286908</v>
      </c>
      <c r="N476" s="6">
        <v>43207</v>
      </c>
      <c r="O476" s="6">
        <v>43297</v>
      </c>
      <c r="P476" s="1" t="s">
        <v>1674</v>
      </c>
    </row>
    <row r="477" spans="1:16" hidden="1">
      <c r="A477" s="4">
        <v>560</v>
      </c>
      <c r="B477" s="2" t="str">
        <f>HYPERLINK("https://my.zakupki.prom.ua/remote/dispatcher/state_purchase_view/6848055", "UA-2018-04-17-001030-a")</f>
        <v>UA-2018-04-17-001030-a</v>
      </c>
      <c r="C477" s="2" t="s">
        <v>1276</v>
      </c>
      <c r="D477" s="2" t="str">
        <f>HYPERLINK("https://my.zakupki.prom.ua/remote/dispatcher/state_contracting_view/1530302", "UA-2018-04-17-001030-a-a1")</f>
        <v>UA-2018-04-17-001030-a-a1</v>
      </c>
      <c r="E477" s="1" t="s">
        <v>1007</v>
      </c>
      <c r="F477" s="1" t="s">
        <v>1312</v>
      </c>
      <c r="G477" s="1" t="s">
        <v>1312</v>
      </c>
      <c r="H477" s="1" t="s">
        <v>480</v>
      </c>
      <c r="I477" s="1" t="s">
        <v>1175</v>
      </c>
      <c r="J477" s="1" t="s">
        <v>1625</v>
      </c>
      <c r="K477" s="1" t="s">
        <v>508</v>
      </c>
      <c r="L477" s="1" t="s">
        <v>253</v>
      </c>
      <c r="M477" s="5">
        <v>155794.79999999999</v>
      </c>
      <c r="N477" s="6">
        <v>43207</v>
      </c>
      <c r="O477" s="6">
        <v>43297</v>
      </c>
      <c r="P477" s="1" t="s">
        <v>1674</v>
      </c>
    </row>
    <row r="478" spans="1:16" hidden="1">
      <c r="A478" s="4">
        <v>561</v>
      </c>
      <c r="B478" s="2" t="str">
        <f>HYPERLINK("https://my.zakupki.prom.ua/remote/dispatcher/state_purchase_view/6848306", "UA-2018-04-17-001293-a")</f>
        <v>UA-2018-04-17-001293-a</v>
      </c>
      <c r="C478" s="2" t="s">
        <v>1276</v>
      </c>
      <c r="D478" s="2" t="str">
        <f>HYPERLINK("https://my.zakupki.prom.ua/remote/dispatcher/state_contracting_view/1530649", "UA-2018-04-17-001293-a-a1")</f>
        <v>UA-2018-04-17-001293-a-a1</v>
      </c>
      <c r="E478" s="1" t="s">
        <v>682</v>
      </c>
      <c r="F478" s="1" t="s">
        <v>1098</v>
      </c>
      <c r="G478" s="1" t="s">
        <v>1098</v>
      </c>
      <c r="H478" s="1" t="s">
        <v>480</v>
      </c>
      <c r="I478" s="1" t="s">
        <v>1175</v>
      </c>
      <c r="J478" s="1" t="s">
        <v>1625</v>
      </c>
      <c r="K478" s="1" t="s">
        <v>508</v>
      </c>
      <c r="L478" s="1" t="s">
        <v>254</v>
      </c>
      <c r="M478" s="5">
        <v>46990.8</v>
      </c>
      <c r="N478" s="6">
        <v>43207</v>
      </c>
      <c r="O478" s="6">
        <v>43297</v>
      </c>
      <c r="P478" s="1" t="s">
        <v>1674</v>
      </c>
    </row>
    <row r="479" spans="1:16" hidden="1">
      <c r="A479" s="4">
        <v>562</v>
      </c>
      <c r="B479" s="2" t="str">
        <f>HYPERLINK("https://my.zakupki.prom.ua/remote/dispatcher/state_purchase_view/6848632", "UA-2018-04-17-001322-a")</f>
        <v>UA-2018-04-17-001322-a</v>
      </c>
      <c r="C479" s="2" t="s">
        <v>1276</v>
      </c>
      <c r="D479" s="2" t="str">
        <f>HYPERLINK("https://my.zakupki.prom.ua/remote/dispatcher/state_contracting_view/1530696", "UA-2018-04-17-001322-a-a1")</f>
        <v>UA-2018-04-17-001322-a-a1</v>
      </c>
      <c r="E479" s="1" t="s">
        <v>688</v>
      </c>
      <c r="F479" s="1" t="s">
        <v>1097</v>
      </c>
      <c r="G479" s="1" t="s">
        <v>1097</v>
      </c>
      <c r="H479" s="1" t="s">
        <v>480</v>
      </c>
      <c r="I479" s="1" t="s">
        <v>1175</v>
      </c>
      <c r="J479" s="1" t="s">
        <v>1625</v>
      </c>
      <c r="K479" s="1" t="s">
        <v>508</v>
      </c>
      <c r="L479" s="1" t="s">
        <v>255</v>
      </c>
      <c r="M479" s="5">
        <v>195504</v>
      </c>
      <c r="N479" s="6">
        <v>43207</v>
      </c>
      <c r="O479" s="6">
        <v>43267</v>
      </c>
      <c r="P479" s="1" t="s">
        <v>1674</v>
      </c>
    </row>
    <row r="480" spans="1:16" hidden="1">
      <c r="A480" s="4">
        <v>563</v>
      </c>
      <c r="B480" s="2" t="str">
        <f>HYPERLINK("https://my.zakupki.prom.ua/remote/dispatcher/state_purchase_view/2832360", "UA-2017-04-13-001851-b")</f>
        <v>UA-2017-04-13-001851-b</v>
      </c>
      <c r="C480" s="2" t="s">
        <v>1276</v>
      </c>
      <c r="D480" s="2" t="str">
        <f>HYPERLINK("https://my.zakupki.prom.ua/remote/dispatcher/state_contracting_view/625429", "UA-2017-04-13-001851-b-b1")</f>
        <v>UA-2017-04-13-001851-b-b1</v>
      </c>
      <c r="E480" s="1" t="s">
        <v>705</v>
      </c>
      <c r="F480" s="1" t="s">
        <v>1371</v>
      </c>
      <c r="G480" s="1" t="s">
        <v>1273</v>
      </c>
      <c r="H480" s="1" t="s">
        <v>558</v>
      </c>
      <c r="I480" s="1" t="s">
        <v>1175</v>
      </c>
      <c r="J480" s="1" t="s">
        <v>1657</v>
      </c>
      <c r="K480" s="1" t="s">
        <v>401</v>
      </c>
      <c r="L480" s="1" t="s">
        <v>300</v>
      </c>
      <c r="M480" s="5">
        <v>56270</v>
      </c>
      <c r="N480" s="6">
        <v>42838</v>
      </c>
      <c r="O480" s="6">
        <v>43100</v>
      </c>
      <c r="P480" s="1" t="s">
        <v>1674</v>
      </c>
    </row>
    <row r="481" spans="1:16" hidden="1">
      <c r="A481" s="4">
        <v>564</v>
      </c>
      <c r="B481" s="2" t="str">
        <f>HYPERLINK("https://my.zakupki.prom.ua/remote/dispatcher/state_purchase_view/2991168", "UA-2017-05-05-002134-b")</f>
        <v>UA-2017-05-05-002134-b</v>
      </c>
      <c r="C481" s="2" t="s">
        <v>1276</v>
      </c>
      <c r="D481" s="2" t="str">
        <f>HYPERLINK("https://my.zakupki.prom.ua/remote/dispatcher/state_contracting_view/625314", "UA-2017-05-05-002134-b-b1")</f>
        <v>UA-2017-05-05-002134-b-b1</v>
      </c>
      <c r="E481" s="1" t="s">
        <v>1003</v>
      </c>
      <c r="F481" s="1" t="s">
        <v>1206</v>
      </c>
      <c r="G481" s="1" t="s">
        <v>1109</v>
      </c>
      <c r="H481" s="1" t="s">
        <v>483</v>
      </c>
      <c r="I481" s="1" t="s">
        <v>1175</v>
      </c>
      <c r="J481" s="1" t="s">
        <v>1606</v>
      </c>
      <c r="K481" s="1" t="s">
        <v>395</v>
      </c>
      <c r="L481" s="1" t="s">
        <v>345</v>
      </c>
      <c r="M481" s="5">
        <v>203623.21</v>
      </c>
      <c r="N481" s="6">
        <v>42860</v>
      </c>
      <c r="O481" s="6">
        <v>43100</v>
      </c>
      <c r="P481" s="1" t="s">
        <v>1674</v>
      </c>
    </row>
    <row r="482" spans="1:16" hidden="1">
      <c r="A482" s="1" t="s">
        <v>1182</v>
      </c>
      <c r="H482"/>
      <c r="I482"/>
      <c r="J482"/>
    </row>
  </sheetData>
  <autoFilter ref="A6:P482">
    <filterColumn colId="13">
      <filters>
        <dateGroupItem year="2023" dateTimeGrouping="year"/>
      </filters>
    </filterColumn>
  </autoFilter>
  <mergeCells count="3">
    <mergeCell ref="F2:P2"/>
    <mergeCell ref="F3:P3"/>
    <mergeCell ref="F4:P4"/>
  </mergeCells>
  <hyperlinks>
    <hyperlink ref="B13" r:id="rId1" display="https://my.zakupki.prom.ua/remote/dispatcher/state_purchase_view/40344115"/>
    <hyperlink ref="D13" r:id="rId2" display="https://my.zakupki.prom.ua/remote/dispatcher/state_contracting_view/15387409"/>
    <hyperlink ref="B14" r:id="rId3" display="https://my.zakupki.prom.ua/remote/dispatcher/state_purchase_view/40843259"/>
    <hyperlink ref="D14" r:id="rId4" display="https://my.zakupki.prom.ua/remote/dispatcher/state_contracting_view/15622865"/>
    <hyperlink ref="B15" r:id="rId5" display="https://my.zakupki.prom.ua/remote/dispatcher/state_purchase_view/41344832"/>
    <hyperlink ref="D15" r:id="rId6" display="https://my.zakupki.prom.ua/remote/dispatcher/state_contracting_view/15853991"/>
    <hyperlink ref="B16" r:id="rId7" display="https://my.zakupki.prom.ua/remote/dispatcher/state_purchase_view/41469638"/>
    <hyperlink ref="D16" r:id="rId8" display="https://my.zakupki.prom.ua/remote/dispatcher/state_contracting_view/15907042"/>
    <hyperlink ref="B17" r:id="rId9" display="https://my.zakupki.prom.ua/remote/dispatcher/state_purchase_view/42758026"/>
    <hyperlink ref="D17" r:id="rId10" display="https://my.zakupki.prom.ua/remote/dispatcher/state_contracting_view/16476898"/>
    <hyperlink ref="B18" r:id="rId11" display="https://my.zakupki.prom.ua/remote/dispatcher/state_purchase_view/42214417"/>
    <hyperlink ref="D18" r:id="rId12" display="https://my.zakupki.prom.ua/remote/dispatcher/state_contracting_view/16226974"/>
    <hyperlink ref="B19" r:id="rId13" display="https://my.zakupki.prom.ua/remote/dispatcher/state_purchase_view/43996934"/>
    <hyperlink ref="D19" r:id="rId14" display="https://my.zakupki.prom.ua/remote/dispatcher/state_contracting_view/17041374"/>
    <hyperlink ref="B20" r:id="rId15" display="https://my.zakupki.prom.ua/remote/dispatcher/state_purchase_view/44000876"/>
    <hyperlink ref="D20" r:id="rId16" display="https://my.zakupki.prom.ua/remote/dispatcher/state_contracting_view/17043024"/>
    <hyperlink ref="B21" r:id="rId17" display="https://my.zakupki.prom.ua/remote/dispatcher/state_purchase_view/44399229"/>
    <hyperlink ref="D21" r:id="rId18" display="https://my.zakupki.prom.ua/remote/dispatcher/state_contracting_view/17215074"/>
    <hyperlink ref="B22" r:id="rId19" display="https://my.zakupki.prom.ua/remote/dispatcher/state_purchase_view/44431029"/>
    <hyperlink ref="D22" r:id="rId20" display="https://my.zakupki.prom.ua/remote/dispatcher/state_contracting_view/17228869"/>
    <hyperlink ref="B23" r:id="rId21" display="https://my.zakupki.prom.ua/remote/dispatcher/state_purchase_view/40918997"/>
    <hyperlink ref="D23" r:id="rId22" display="https://my.zakupki.prom.ua/remote/dispatcher/state_contracting_view/15658708"/>
    <hyperlink ref="B24" r:id="rId23" display="https://my.zakupki.prom.ua/remote/dispatcher/state_purchase_view/41712315"/>
    <hyperlink ref="D24" r:id="rId24" display="https://my.zakupki.prom.ua/remote/dispatcher/state_contracting_view/16009784"/>
    <hyperlink ref="B25" r:id="rId25" display="https://my.zakupki.prom.ua/remote/dispatcher/state_purchase_view/41466464"/>
    <hyperlink ref="D25" r:id="rId26" display="https://my.zakupki.prom.ua/remote/dispatcher/state_contracting_view/15905675"/>
    <hyperlink ref="B26" r:id="rId27" display="https://my.zakupki.prom.ua/remote/dispatcher/state_purchase_view/42292687"/>
    <hyperlink ref="D26" r:id="rId28" display="https://my.zakupki.prom.ua/remote/dispatcher/state_contracting_view/16262922"/>
    <hyperlink ref="B27" r:id="rId29" display="https://my.zakupki.prom.ua/remote/dispatcher/state_purchase_view/42031229"/>
    <hyperlink ref="D27" r:id="rId30" display="https://my.zakupki.prom.ua/remote/dispatcher/state_contracting_view/16147512"/>
    <hyperlink ref="B28" r:id="rId31" display="https://my.zakupki.prom.ua/remote/dispatcher/state_purchase_view/42078490"/>
    <hyperlink ref="D28" r:id="rId32" display="https://my.zakupki.prom.ua/remote/dispatcher/state_contracting_view/16167823"/>
    <hyperlink ref="B29" r:id="rId33" display="https://my.zakupki.prom.ua/remote/dispatcher/state_purchase_view/42100014"/>
    <hyperlink ref="C29" r:id="rId34" display="https://my.zakupki.prom.ua/remote/dispatcher/state_purchase_lot_view/925444"/>
    <hyperlink ref="D29" r:id="rId35" display="https://my.zakupki.prom.ua/remote/dispatcher/state_contracting_view/16398078"/>
    <hyperlink ref="B30" r:id="rId36" display="https://my.zakupki.prom.ua/remote/dispatcher/state_purchase_view/40718305"/>
    <hyperlink ref="D30" r:id="rId37" display="https://my.zakupki.prom.ua/remote/dispatcher/state_contracting_view/15563686"/>
    <hyperlink ref="B31" r:id="rId38" display="https://my.zakupki.prom.ua/remote/dispatcher/state_purchase_view/42540790"/>
    <hyperlink ref="D31" r:id="rId39" display="https://my.zakupki.prom.ua/remote/dispatcher/state_contracting_view/16376822"/>
    <hyperlink ref="B32" r:id="rId40" display="https://my.zakupki.prom.ua/remote/dispatcher/state_purchase_view/42758394"/>
    <hyperlink ref="D32" r:id="rId41" display="https://my.zakupki.prom.ua/remote/dispatcher/state_contracting_view/16477131"/>
    <hyperlink ref="B33" r:id="rId42" display="https://my.zakupki.prom.ua/remote/dispatcher/state_purchase_view/42628317"/>
    <hyperlink ref="D33" r:id="rId43" display="https://my.zakupki.prom.ua/remote/dispatcher/state_contracting_view/16417097"/>
    <hyperlink ref="B34" r:id="rId44" display="https://my.zakupki.prom.ua/remote/dispatcher/state_purchase_view/42630120"/>
    <hyperlink ref="D34" r:id="rId45" display="https://my.zakupki.prom.ua/remote/dispatcher/state_contracting_view/16418019"/>
    <hyperlink ref="B35" r:id="rId46" display="https://my.zakupki.prom.ua/remote/dispatcher/state_purchase_view/42630906"/>
    <hyperlink ref="D35" r:id="rId47" display="https://my.zakupki.prom.ua/remote/dispatcher/state_contracting_view/16418620"/>
    <hyperlink ref="B36" r:id="rId48" display="https://my.zakupki.prom.ua/remote/dispatcher/state_purchase_view/39849640"/>
    <hyperlink ref="D36" r:id="rId49" display="https://my.zakupki.prom.ua/remote/dispatcher/state_contracting_view/15163796"/>
    <hyperlink ref="D481" r:id="rId50" display="https://my.zakupki.prom.ua/remote/dispatcher/state_contracting_view/625314"/>
    <hyperlink ref="B481" r:id="rId51" display="https://my.zakupki.prom.ua/remote/dispatcher/state_purchase_view/2991168"/>
    <hyperlink ref="D480" r:id="rId52" display="https://my.zakupki.prom.ua/remote/dispatcher/state_contracting_view/625429"/>
    <hyperlink ref="B480" r:id="rId53" display="https://my.zakupki.prom.ua/remote/dispatcher/state_purchase_view/2832360"/>
    <hyperlink ref="D479" r:id="rId54" display="https://my.zakupki.prom.ua/remote/dispatcher/state_contracting_view/1530696"/>
    <hyperlink ref="B479" r:id="rId55" display="https://my.zakupki.prom.ua/remote/dispatcher/state_purchase_view/6848632"/>
    <hyperlink ref="D478" r:id="rId56" display="https://my.zakupki.prom.ua/remote/dispatcher/state_contracting_view/1530649"/>
    <hyperlink ref="B478" r:id="rId57" display="https://my.zakupki.prom.ua/remote/dispatcher/state_purchase_view/6848306"/>
    <hyperlink ref="D477" r:id="rId58" display="https://my.zakupki.prom.ua/remote/dispatcher/state_contracting_view/1530302"/>
    <hyperlink ref="B477" r:id="rId59" display="https://my.zakupki.prom.ua/remote/dispatcher/state_purchase_view/6848055"/>
    <hyperlink ref="D476" r:id="rId60" display="https://my.zakupki.prom.ua/remote/dispatcher/state_contracting_view/1530714"/>
    <hyperlink ref="B476" r:id="rId61" display="https://my.zakupki.prom.ua/remote/dispatcher/state_purchase_view/6848938"/>
    <hyperlink ref="D475" r:id="rId62" display="https://my.zakupki.prom.ua/remote/dispatcher/state_contracting_view/1530246"/>
    <hyperlink ref="B475" r:id="rId63" display="https://my.zakupki.prom.ua/remote/dispatcher/state_purchase_view/6847704"/>
    <hyperlink ref="D474" r:id="rId64" display="https://my.zakupki.prom.ua/remote/dispatcher/state_contracting_view/2170807"/>
    <hyperlink ref="B474" r:id="rId65" display="https://my.zakupki.prom.ua/remote/dispatcher/state_purchase_view/9044538"/>
    <hyperlink ref="D473" r:id="rId66" display="https://my.zakupki.prom.ua/remote/dispatcher/state_contracting_view/2134015"/>
    <hyperlink ref="B473" r:id="rId67" display="https://my.zakupki.prom.ua/remote/dispatcher/state_purchase_view/8909742"/>
    <hyperlink ref="D472" r:id="rId68" display="https://my.zakupki.prom.ua/remote/dispatcher/state_contracting_view/1434339"/>
    <hyperlink ref="B472" r:id="rId69" display="https://my.zakupki.prom.ua/remote/dispatcher/state_purchase_view/6490515"/>
    <hyperlink ref="D471" r:id="rId70" display="https://my.zakupki.prom.ua/remote/dispatcher/state_contracting_view/2298501"/>
    <hyperlink ref="B471" r:id="rId71" display="https://my.zakupki.prom.ua/remote/dispatcher/state_purchase_view/9484760"/>
    <hyperlink ref="D470" r:id="rId72" display="https://my.zakupki.prom.ua/remote/dispatcher/state_contracting_view/2134077"/>
    <hyperlink ref="B470" r:id="rId73" display="https://my.zakupki.prom.ua/remote/dispatcher/state_purchase_view/8910806"/>
    <hyperlink ref="D469" r:id="rId74" display="https://my.zakupki.prom.ua/remote/dispatcher/state_contracting_view/2672162"/>
    <hyperlink ref="B469" r:id="rId75" display="https://my.zakupki.prom.ua/remote/dispatcher/state_purchase_view/11170500"/>
    <hyperlink ref="D468" r:id="rId76" display="https://my.zakupki.prom.ua/remote/dispatcher/state_contracting_view/2672422"/>
    <hyperlink ref="B468" r:id="rId77" display="https://my.zakupki.prom.ua/remote/dispatcher/state_purchase_view/11172136"/>
    <hyperlink ref="D467" r:id="rId78" display="https://my.zakupki.prom.ua/remote/dispatcher/state_contracting_view/2672386"/>
    <hyperlink ref="B467" r:id="rId79" display="https://my.zakupki.prom.ua/remote/dispatcher/state_purchase_view/11172035"/>
    <hyperlink ref="D466" r:id="rId80" display="https://my.zakupki.prom.ua/remote/dispatcher/state_contracting_view/2672310"/>
    <hyperlink ref="B466" r:id="rId81" display="https://my.zakupki.prom.ua/remote/dispatcher/state_purchase_view/11170707"/>
    <hyperlink ref="D465" r:id="rId82" display="https://my.zakupki.prom.ua/remote/dispatcher/state_contracting_view/2672224"/>
    <hyperlink ref="B465" r:id="rId83" display="https://my.zakupki.prom.ua/remote/dispatcher/state_purchase_view/11170610"/>
    <hyperlink ref="D464" r:id="rId84" display="https://my.zakupki.prom.ua/remote/dispatcher/state_contracting_view/2671996"/>
    <hyperlink ref="B464" r:id="rId85" display="https://my.zakupki.prom.ua/remote/dispatcher/state_purchase_view/11170288"/>
    <hyperlink ref="D463" r:id="rId86" display="https://my.zakupki.prom.ua/remote/dispatcher/state_contracting_view/3067902"/>
    <hyperlink ref="B463" r:id="rId87" display="https://my.zakupki.prom.ua/remote/dispatcher/state_purchase_view/12144016"/>
    <hyperlink ref="D462" r:id="rId88" display="https://my.zakupki.prom.ua/remote/dispatcher/state_contracting_view/3475527"/>
    <hyperlink ref="B462" r:id="rId89" display="https://my.zakupki.prom.ua/remote/dispatcher/state_purchase_view/13688016"/>
    <hyperlink ref="D461" r:id="rId90" display="https://my.zakupki.prom.ua/remote/dispatcher/state_contracting_view/2831417"/>
    <hyperlink ref="B461" r:id="rId91" display="https://my.zakupki.prom.ua/remote/dispatcher/state_purchase_view/11715457"/>
    <hyperlink ref="D460" r:id="rId92" display="https://my.zakupki.prom.ua/remote/dispatcher/state_contracting_view/3255996"/>
    <hyperlink ref="B460" r:id="rId93" display="https://my.zakupki.prom.ua/remote/dispatcher/state_purchase_view/13139129"/>
    <hyperlink ref="D459" r:id="rId94" display="https://my.zakupki.prom.ua/remote/dispatcher/state_contracting_view/2864806"/>
    <hyperlink ref="B459" r:id="rId95" display="https://my.zakupki.prom.ua/remote/dispatcher/state_purchase_view/11823680"/>
    <hyperlink ref="D458" r:id="rId96" display="https://my.zakupki.prom.ua/remote/dispatcher/state_contracting_view/3731980"/>
    <hyperlink ref="B458" r:id="rId97" display="https://my.zakupki.prom.ua/remote/dispatcher/state_purchase_view/15015357"/>
    <hyperlink ref="D457" r:id="rId98" display="https://my.zakupki.prom.ua/remote/dispatcher/state_contracting_view/4279000"/>
    <hyperlink ref="B457" r:id="rId99" display="https://my.zakupki.prom.ua/remote/dispatcher/state_purchase_view/16682039"/>
    <hyperlink ref="D456" r:id="rId100" display="https://my.zakupki.prom.ua/remote/dispatcher/state_contracting_view/4940503"/>
    <hyperlink ref="B456" r:id="rId101" display="https://my.zakupki.prom.ua/remote/dispatcher/state_purchase_view/18109402"/>
    <hyperlink ref="D455" r:id="rId102" display="https://my.zakupki.prom.ua/remote/dispatcher/state_contracting_view/4332175"/>
    <hyperlink ref="B455" r:id="rId103" display="https://my.zakupki.prom.ua/remote/dispatcher/state_purchase_view/16778135"/>
    <hyperlink ref="D454" r:id="rId104" display="https://my.zakupki.prom.ua/remote/dispatcher/state_contracting_view/4320065"/>
    <hyperlink ref="B454" r:id="rId105" display="https://my.zakupki.prom.ua/remote/dispatcher/state_purchase_view/16770189"/>
    <hyperlink ref="D453" r:id="rId106" display="https://my.zakupki.prom.ua/remote/dispatcher/state_contracting_view/4328805"/>
    <hyperlink ref="B453" r:id="rId107" display="https://my.zakupki.prom.ua/remote/dispatcher/state_purchase_view/16778283"/>
    <hyperlink ref="D452" r:id="rId108" display="https://my.zakupki.prom.ua/remote/dispatcher/state_contracting_view/5089441"/>
    <hyperlink ref="B452" r:id="rId109" display="https://my.zakupki.prom.ua/remote/dispatcher/state_purchase_view/18436776"/>
    <hyperlink ref="D451" r:id="rId110" display="https://my.zakupki.prom.ua/remote/dispatcher/state_contracting_view/4328193"/>
    <hyperlink ref="B451" r:id="rId111" display="https://my.zakupki.prom.ua/remote/dispatcher/state_purchase_view/16778464"/>
    <hyperlink ref="D450" r:id="rId112" display="https://my.zakupki.prom.ua/remote/dispatcher/state_contracting_view/4326087"/>
    <hyperlink ref="B450" r:id="rId113" display="https://my.zakupki.prom.ua/remote/dispatcher/state_purchase_view/16778354"/>
    <hyperlink ref="D449" r:id="rId114" display="https://my.zakupki.prom.ua/remote/dispatcher/state_contracting_view/4328234"/>
    <hyperlink ref="B449" r:id="rId115" display="https://my.zakupki.prom.ua/remote/dispatcher/state_purchase_view/16778221"/>
    <hyperlink ref="D448" r:id="rId116" display="https://my.zakupki.prom.ua/remote/dispatcher/state_contracting_view/4849223"/>
    <hyperlink ref="B448" r:id="rId117" display="https://my.zakupki.prom.ua/remote/dispatcher/state_purchase_view/17918163"/>
    <hyperlink ref="D447" r:id="rId118" display="https://my.zakupki.prom.ua/remote/dispatcher/state_contracting_view/4844499"/>
    <hyperlink ref="B447" r:id="rId119" display="https://my.zakupki.prom.ua/remote/dispatcher/state_purchase_view/17906079"/>
    <hyperlink ref="D446" r:id="rId120" display="https://my.zakupki.prom.ua/remote/dispatcher/state_contracting_view/5029189"/>
    <hyperlink ref="B446" r:id="rId121" display="https://my.zakupki.prom.ua/remote/dispatcher/state_purchase_view/18308776"/>
    <hyperlink ref="D445" r:id="rId122" display="https://my.zakupki.prom.ua/remote/dispatcher/state_contracting_view/4833720"/>
    <hyperlink ref="B445" r:id="rId123" display="https://my.zakupki.prom.ua/remote/dispatcher/state_purchase_view/17883613"/>
    <hyperlink ref="D444" r:id="rId124" display="https://my.zakupki.prom.ua/remote/dispatcher/state_contracting_view/4840614"/>
    <hyperlink ref="B444" r:id="rId125" display="https://my.zakupki.prom.ua/remote/dispatcher/state_purchase_view/17892121"/>
    <hyperlink ref="D443" r:id="rId126" display="https://my.zakupki.prom.ua/remote/dispatcher/state_contracting_view/4840625"/>
    <hyperlink ref="B443" r:id="rId127" display="https://my.zakupki.prom.ua/remote/dispatcher/state_purchase_view/17890316"/>
    <hyperlink ref="D442" r:id="rId128" display="https://my.zakupki.prom.ua/remote/dispatcher/state_contracting_view/4850932"/>
    <hyperlink ref="B442" r:id="rId129" display="https://my.zakupki.prom.ua/remote/dispatcher/state_purchase_view/17926163"/>
    <hyperlink ref="D441" r:id="rId130" display="https://my.zakupki.prom.ua/remote/dispatcher/state_contracting_view/4856753"/>
    <hyperlink ref="B441" r:id="rId131" display="https://my.zakupki.prom.ua/remote/dispatcher/state_purchase_view/17929723"/>
    <hyperlink ref="D440" r:id="rId132" display="https://my.zakupki.prom.ua/remote/dispatcher/state_contracting_view/5841515"/>
    <hyperlink ref="B440" r:id="rId133" display="https://my.zakupki.prom.ua/remote/dispatcher/state_purchase_view/20029771"/>
    <hyperlink ref="D439" r:id="rId134" display="https://my.zakupki.prom.ua/remote/dispatcher/state_contracting_view/5132976"/>
    <hyperlink ref="B439" r:id="rId135" display="https://my.zakupki.prom.ua/remote/dispatcher/state_purchase_view/18528348"/>
    <hyperlink ref="D438" r:id="rId136" display="https://my.zakupki.prom.ua/remote/dispatcher/state_contracting_view/6300553"/>
    <hyperlink ref="B438" r:id="rId137" display="https://my.zakupki.prom.ua/remote/dispatcher/state_purchase_view/20984195"/>
    <hyperlink ref="D437" r:id="rId138" display="https://my.zakupki.prom.ua/remote/dispatcher/state_contracting_view/5130074"/>
    <hyperlink ref="B437" r:id="rId139" display="https://my.zakupki.prom.ua/remote/dispatcher/state_purchase_view/18523835"/>
    <hyperlink ref="D436" r:id="rId140" display="https://my.zakupki.prom.ua/remote/dispatcher/state_contracting_view/3825614"/>
    <hyperlink ref="B436" r:id="rId141" display="https://my.zakupki.prom.ua/remote/dispatcher/state_purchase_view/15378986"/>
    <hyperlink ref="D435" r:id="rId142" display="https://my.zakupki.prom.ua/remote/dispatcher/state_contracting_view/3800391"/>
    <hyperlink ref="B435" r:id="rId143" display="https://my.zakupki.prom.ua/remote/dispatcher/state_purchase_view/15286229"/>
    <hyperlink ref="D434" r:id="rId144" display="https://my.zakupki.prom.ua/remote/dispatcher/state_contracting_view/6946490"/>
    <hyperlink ref="B434" r:id="rId145" display="https://my.zakupki.prom.ua/remote/dispatcher/state_purchase_view/22355556"/>
    <hyperlink ref="D433" r:id="rId146" display="https://my.zakupki.prom.ua/remote/dispatcher/state_contracting_view/6220807"/>
    <hyperlink ref="B433" r:id="rId147" display="https://my.zakupki.prom.ua/remote/dispatcher/state_purchase_view/20817398"/>
    <hyperlink ref="D432" r:id="rId148" display="https://my.zakupki.prom.ua/remote/dispatcher/state_contracting_view/6037970"/>
    <hyperlink ref="B432" r:id="rId149" display="https://my.zakupki.prom.ua/remote/dispatcher/state_purchase_view/20436014"/>
    <hyperlink ref="D431" r:id="rId150" display="https://my.zakupki.prom.ua/remote/dispatcher/state_contracting_view/6038711"/>
    <hyperlink ref="B431" r:id="rId151" display="https://my.zakupki.prom.ua/remote/dispatcher/state_purchase_view/20438450"/>
    <hyperlink ref="D430" r:id="rId152" display="https://my.zakupki.prom.ua/remote/dispatcher/state_contracting_view/6315123"/>
    <hyperlink ref="B430" r:id="rId153" display="https://my.zakupki.prom.ua/remote/dispatcher/state_purchase_view/21015066"/>
    <hyperlink ref="D429" r:id="rId154" display="https://my.zakupki.prom.ua/remote/dispatcher/state_contracting_view/6313904"/>
    <hyperlink ref="B429" r:id="rId155" display="https://my.zakupki.prom.ua/remote/dispatcher/state_purchase_view/21012341"/>
    <hyperlink ref="D428" r:id="rId156" display="https://my.zakupki.prom.ua/remote/dispatcher/state_contracting_view/6936474"/>
    <hyperlink ref="B428" r:id="rId157" display="https://my.zakupki.prom.ua/remote/dispatcher/state_purchase_view/22336940"/>
    <hyperlink ref="D427" r:id="rId158" display="https://my.zakupki.prom.ua/remote/dispatcher/state_contracting_view/6939146"/>
    <hyperlink ref="B427" r:id="rId159" display="https://my.zakupki.prom.ua/remote/dispatcher/state_purchase_view/22341456"/>
    <hyperlink ref="D426" r:id="rId160" display="https://my.zakupki.prom.ua/remote/dispatcher/state_contracting_view/6913530"/>
    <hyperlink ref="B426" r:id="rId161" display="https://my.zakupki.prom.ua/remote/dispatcher/state_purchase_view/22286515"/>
    <hyperlink ref="D425" r:id="rId162" display="https://my.zakupki.prom.ua/remote/dispatcher/state_contracting_view/6082108"/>
    <hyperlink ref="B425" r:id="rId163" display="https://my.zakupki.prom.ua/remote/dispatcher/state_purchase_view/20525355"/>
    <hyperlink ref="D424" r:id="rId164" display="https://my.zakupki.prom.ua/remote/dispatcher/state_contracting_view/5880303"/>
    <hyperlink ref="B424" r:id="rId165" display="https://my.zakupki.prom.ua/remote/dispatcher/state_purchase_view/20109914"/>
    <hyperlink ref="D423" r:id="rId166" display="https://my.zakupki.prom.ua/remote/dispatcher/state_contracting_view/5053305"/>
    <hyperlink ref="B423" r:id="rId167" display="https://my.zakupki.prom.ua/remote/dispatcher/state_purchase_view/18359859"/>
    <hyperlink ref="D422" r:id="rId168" display="https://my.zakupki.prom.ua/remote/dispatcher/state_contracting_view/4380547"/>
    <hyperlink ref="B422" r:id="rId169" display="https://my.zakupki.prom.ua/remote/dispatcher/state_purchase_view/16904631"/>
    <hyperlink ref="D421" r:id="rId170" display="https://my.zakupki.prom.ua/remote/dispatcher/state_contracting_view/4942651"/>
    <hyperlink ref="B421" r:id="rId171" display="https://my.zakupki.prom.ua/remote/dispatcher/state_purchase_view/18109648"/>
    <hyperlink ref="D420" r:id="rId172" display="https://my.zakupki.prom.ua/remote/dispatcher/state_contracting_view/3869710"/>
    <hyperlink ref="B420" r:id="rId173" display="https://my.zakupki.prom.ua/remote/dispatcher/state_purchase_view/15532212"/>
    <hyperlink ref="D419" r:id="rId174" display="https://my.zakupki.prom.ua/remote/dispatcher/state_contracting_view/6322232"/>
    <hyperlink ref="B419" r:id="rId175" display="https://my.zakupki.prom.ua/remote/dispatcher/state_purchase_view/21030042"/>
    <hyperlink ref="D418" r:id="rId176" display="https://my.zakupki.prom.ua/remote/dispatcher/state_contracting_view/5756562"/>
    <hyperlink ref="B418" r:id="rId177" display="https://my.zakupki.prom.ua/remote/dispatcher/state_purchase_view/19848148"/>
    <hyperlink ref="D417" r:id="rId178" display="https://my.zakupki.prom.ua/remote/dispatcher/state_contracting_view/5572304"/>
    <hyperlink ref="B417" r:id="rId179" display="https://my.zakupki.prom.ua/remote/dispatcher/state_purchase_view/19455503"/>
    <hyperlink ref="D416" r:id="rId180" display="https://my.zakupki.prom.ua/remote/dispatcher/state_contracting_view/6562852"/>
    <hyperlink ref="B416" r:id="rId181" display="https://my.zakupki.prom.ua/remote/dispatcher/state_purchase_view/21546997"/>
    <hyperlink ref="D415" r:id="rId182" display="https://my.zakupki.prom.ua/remote/dispatcher/state_contracting_view/6562810"/>
    <hyperlink ref="B415" r:id="rId183" display="https://my.zakupki.prom.ua/remote/dispatcher/state_purchase_view/21539910"/>
    <hyperlink ref="D414" r:id="rId184" display="https://my.zakupki.prom.ua/remote/dispatcher/state_contracting_view/6294706"/>
    <hyperlink ref="B414" r:id="rId185" display="https://my.zakupki.prom.ua/remote/dispatcher/state_purchase_view/20971915"/>
    <hyperlink ref="D413" r:id="rId186" display="https://my.zakupki.prom.ua/remote/dispatcher/state_contracting_view/5845594"/>
    <hyperlink ref="B413" r:id="rId187" display="https://my.zakupki.prom.ua/remote/dispatcher/state_purchase_view/20038030"/>
    <hyperlink ref="D412" r:id="rId188" display="https://my.zakupki.prom.ua/remote/dispatcher/state_contracting_view/4776607"/>
    <hyperlink ref="B412" r:id="rId189" display="https://my.zakupki.prom.ua/remote/dispatcher/state_purchase_view/17765756"/>
    <hyperlink ref="D411" r:id="rId190" display="https://my.zakupki.prom.ua/remote/dispatcher/state_contracting_view/7108391"/>
    <hyperlink ref="B411" r:id="rId191" display="https://my.zakupki.prom.ua/remote/dispatcher/state_purchase_view/22688733"/>
    <hyperlink ref="D410" r:id="rId192" display="https://my.zakupki.prom.ua/remote/dispatcher/state_contracting_view/5629340"/>
    <hyperlink ref="B410" r:id="rId193" display="https://my.zakupki.prom.ua/remote/dispatcher/state_purchase_view/19577339"/>
    <hyperlink ref="D409" r:id="rId194" display="https://my.zakupki.prom.ua/remote/dispatcher/state_contracting_view/6562761"/>
    <hyperlink ref="B409" r:id="rId195" display="https://my.zakupki.prom.ua/remote/dispatcher/state_purchase_view/21540194"/>
    <hyperlink ref="D408" r:id="rId196" display="https://my.zakupki.prom.ua/remote/dispatcher/state_contracting_view/6937588"/>
    <hyperlink ref="B408" r:id="rId197" display="https://my.zakupki.prom.ua/remote/dispatcher/state_purchase_view/22338357"/>
    <hyperlink ref="D407" r:id="rId198" display="https://my.zakupki.prom.ua/remote/dispatcher/state_contracting_view/5757423"/>
    <hyperlink ref="B407" r:id="rId199" display="https://my.zakupki.prom.ua/remote/dispatcher/state_purchase_view/19850608"/>
    <hyperlink ref="D406" r:id="rId200" display="https://my.zakupki.prom.ua/remote/dispatcher/state_contracting_view/3787000"/>
    <hyperlink ref="B406" r:id="rId201" display="https://my.zakupki.prom.ua/remote/dispatcher/state_purchase_view/15237184"/>
    <hyperlink ref="D405" r:id="rId202" display="https://my.zakupki.prom.ua/remote/dispatcher/state_contracting_view/4879141"/>
    <hyperlink ref="B405" r:id="rId203" display="https://my.zakupki.prom.ua/remote/dispatcher/state_purchase_view/17985865"/>
    <hyperlink ref="D404" r:id="rId204" display="https://my.zakupki.prom.ua/remote/dispatcher/state_contracting_view/4877492"/>
    <hyperlink ref="B404" r:id="rId205" display="https://my.zakupki.prom.ua/remote/dispatcher/state_purchase_view/17982320"/>
    <hyperlink ref="D403" r:id="rId206" display="https://my.zakupki.prom.ua/remote/dispatcher/state_contracting_view/4774156"/>
    <hyperlink ref="B403" r:id="rId207" display="https://my.zakupki.prom.ua/remote/dispatcher/state_purchase_view/17760300"/>
    <hyperlink ref="D402" r:id="rId208" display="https://my.zakupki.prom.ua/remote/dispatcher/state_contracting_view/4571862"/>
    <hyperlink ref="B402" r:id="rId209" display="https://my.zakupki.prom.ua/remote/dispatcher/state_purchase_view/17324801"/>
    <hyperlink ref="D401" r:id="rId210" display="https://my.zakupki.prom.ua/remote/dispatcher/state_contracting_view/4491451"/>
    <hyperlink ref="B401" r:id="rId211" display="https://my.zakupki.prom.ua/remote/dispatcher/state_purchase_view/17143290"/>
    <hyperlink ref="D400" r:id="rId212" display="https://my.zakupki.prom.ua/remote/dispatcher/state_contracting_view/4344789"/>
    <hyperlink ref="B400" r:id="rId213" display="https://my.zakupki.prom.ua/remote/dispatcher/state_purchase_view/16826445"/>
    <hyperlink ref="D399" r:id="rId214" display="https://my.zakupki.prom.ua/remote/dispatcher/state_contracting_view/6948104"/>
    <hyperlink ref="B399" r:id="rId215" display="https://my.zakupki.prom.ua/remote/dispatcher/state_purchase_view/22359865"/>
    <hyperlink ref="D398" r:id="rId216" display="https://my.zakupki.prom.ua/remote/dispatcher/state_contracting_view/7108265"/>
    <hyperlink ref="B398" r:id="rId217" display="https://my.zakupki.prom.ua/remote/dispatcher/state_purchase_view/22688456"/>
    <hyperlink ref="D397" r:id="rId218" display="https://my.zakupki.prom.ua/remote/dispatcher/state_contracting_view/6785331"/>
    <hyperlink ref="B397" r:id="rId219" display="https://my.zakupki.prom.ua/remote/dispatcher/state_purchase_view/22021308"/>
    <hyperlink ref="D396" r:id="rId220" display="https://my.zakupki.prom.ua/remote/dispatcher/state_contracting_view/4935877"/>
    <hyperlink ref="B396" r:id="rId221" display="https://my.zakupki.prom.ua/remote/dispatcher/state_purchase_view/18102521"/>
    <hyperlink ref="D395" r:id="rId222" display="https://my.zakupki.prom.ua/remote/dispatcher/state_contracting_view/4706604"/>
    <hyperlink ref="B395" r:id="rId223" display="https://my.zakupki.prom.ua/remote/dispatcher/state_purchase_view/17614967"/>
    <hyperlink ref="D394" r:id="rId224" display="https://my.zakupki.prom.ua/remote/dispatcher/state_contracting_view/4474361"/>
    <hyperlink ref="B394" r:id="rId225" display="https://my.zakupki.prom.ua/remote/dispatcher/state_purchase_view/17112298"/>
    <hyperlink ref="D393" r:id="rId226" display="https://my.zakupki.prom.ua/remote/dispatcher/state_contracting_view/4299517"/>
    <hyperlink ref="B393" r:id="rId227" display="https://my.zakupki.prom.ua/remote/dispatcher/state_purchase_view/16727708"/>
    <hyperlink ref="D392" r:id="rId228" display="https://my.zakupki.prom.ua/remote/dispatcher/state_contracting_view/5389946"/>
    <hyperlink ref="B392" r:id="rId229" display="https://my.zakupki.prom.ua/remote/dispatcher/state_purchase_view/19071362"/>
    <hyperlink ref="D391" r:id="rId230" display="https://my.zakupki.prom.ua/remote/dispatcher/state_contracting_view/6743948"/>
    <hyperlink ref="B391" r:id="rId231" display="https://my.zakupki.prom.ua/remote/dispatcher/state_purchase_view/21934499"/>
    <hyperlink ref="D390" r:id="rId232" display="https://my.zakupki.prom.ua/remote/dispatcher/state_contracting_view/6559462"/>
    <hyperlink ref="B390" r:id="rId233" display="https://my.zakupki.prom.ua/remote/dispatcher/state_purchase_view/21539540"/>
    <hyperlink ref="D389" r:id="rId234" display="https://my.zakupki.prom.ua/remote/dispatcher/state_contracting_view/7108502"/>
    <hyperlink ref="B389" r:id="rId235" display="https://my.zakupki.prom.ua/remote/dispatcher/state_purchase_view/22689016"/>
    <hyperlink ref="D388" r:id="rId236" display="https://my.zakupki.prom.ua/remote/dispatcher/state_contracting_view/4940691"/>
    <hyperlink ref="B388" r:id="rId237" display="https://my.zakupki.prom.ua/remote/dispatcher/state_purchase_view/18109585"/>
    <hyperlink ref="D387" r:id="rId238" display="https://my.zakupki.prom.ua/remote/dispatcher/state_contracting_view/4617585"/>
    <hyperlink ref="B387" r:id="rId239" display="https://my.zakupki.prom.ua/remote/dispatcher/state_purchase_view/17424381"/>
    <hyperlink ref="D386" r:id="rId240" display="https://my.zakupki.prom.ua/remote/dispatcher/state_contracting_view/5671457"/>
    <hyperlink ref="B386" r:id="rId241" display="https://my.zakupki.prom.ua/remote/dispatcher/state_purchase_view/19664625"/>
    <hyperlink ref="D385" r:id="rId242" display="https://my.zakupki.prom.ua/remote/dispatcher/state_contracting_view/4250140"/>
    <hyperlink ref="B385" r:id="rId243" display="https://my.zakupki.prom.ua/remote/dispatcher/state_purchase_view/16593605"/>
    <hyperlink ref="D384" r:id="rId244" display="https://my.zakupki.prom.ua/remote/dispatcher/state_contracting_view/5561518"/>
    <hyperlink ref="B384" r:id="rId245" display="https://my.zakupki.prom.ua/remote/dispatcher/state_purchase_view/19429391"/>
    <hyperlink ref="D383" r:id="rId246" display="https://my.zakupki.prom.ua/remote/dispatcher/state_contracting_view/5390216"/>
    <hyperlink ref="B383" r:id="rId247" display="https://my.zakupki.prom.ua/remote/dispatcher/state_purchase_view/19071793"/>
    <hyperlink ref="D382" r:id="rId248" display="https://my.zakupki.prom.ua/remote/dispatcher/state_contracting_view/5115604"/>
    <hyperlink ref="B382" r:id="rId249" display="https://my.zakupki.prom.ua/remote/dispatcher/state_purchase_view/18493058"/>
    <hyperlink ref="D381" r:id="rId250" display="https://my.zakupki.prom.ua/remote/dispatcher/state_contracting_view/6935418"/>
    <hyperlink ref="B381" r:id="rId251" display="https://my.zakupki.prom.ua/remote/dispatcher/state_purchase_view/22333661"/>
    <hyperlink ref="D380" r:id="rId252" display="https://my.zakupki.prom.ua/remote/dispatcher/state_contracting_view/3718904"/>
    <hyperlink ref="B380" r:id="rId253" display="https://my.zakupki.prom.ua/remote/dispatcher/state_purchase_view/14953144"/>
    <hyperlink ref="D379" r:id="rId254" display="https://my.zakupki.prom.ua/remote/dispatcher/state_contracting_view/6938748"/>
    <hyperlink ref="B379" r:id="rId255" display="https://my.zakupki.prom.ua/remote/dispatcher/state_purchase_view/22340618"/>
    <hyperlink ref="D378" r:id="rId256" display="https://my.zakupki.prom.ua/remote/dispatcher/state_contracting_view/5983242"/>
    <hyperlink ref="B378" r:id="rId257" display="https://my.zakupki.prom.ua/remote/dispatcher/state_purchase_view/20324313"/>
    <hyperlink ref="D377" r:id="rId258" display="https://my.zakupki.prom.ua/remote/dispatcher/state_contracting_view/5561676"/>
    <hyperlink ref="B377" r:id="rId259" display="https://my.zakupki.prom.ua/remote/dispatcher/state_purchase_view/19398746"/>
    <hyperlink ref="D376" r:id="rId260" display="https://my.zakupki.prom.ua/remote/dispatcher/state_contracting_view/7108291"/>
    <hyperlink ref="B376" r:id="rId261" display="https://my.zakupki.prom.ua/remote/dispatcher/state_purchase_view/22688561"/>
    <hyperlink ref="D375" r:id="rId262" display="https://my.zakupki.prom.ua/remote/dispatcher/state_contracting_view/7108256"/>
    <hyperlink ref="B375" r:id="rId263" display="https://my.zakupki.prom.ua/remote/dispatcher/state_purchase_view/22688454"/>
    <hyperlink ref="D374" r:id="rId264" display="https://my.zakupki.prom.ua/remote/dispatcher/state_contracting_view/4471166"/>
    <hyperlink ref="B374" r:id="rId265" display="https://my.zakupki.prom.ua/remote/dispatcher/state_purchase_view/17105693"/>
    <hyperlink ref="D373" r:id="rId266" display="https://my.zakupki.prom.ua/remote/dispatcher/state_contracting_view/4707129"/>
    <hyperlink ref="B373" r:id="rId267" display="https://my.zakupki.prom.ua/remote/dispatcher/state_purchase_view/17616603"/>
    <hyperlink ref="D372" r:id="rId268" display="https://my.zakupki.prom.ua/remote/dispatcher/state_contracting_view/4242485"/>
    <hyperlink ref="B372" r:id="rId269" display="https://my.zakupki.prom.ua/remote/dispatcher/state_purchase_view/16574117"/>
    <hyperlink ref="D371" r:id="rId270" display="https://my.zakupki.prom.ua/remote/dispatcher/state_contracting_view/7260386"/>
    <hyperlink ref="B371" r:id="rId271" display="https://my.zakupki.prom.ua/remote/dispatcher/state_purchase_view/23067633"/>
    <hyperlink ref="D370" r:id="rId272" display="https://my.zakupki.prom.ua/remote/dispatcher/state_contracting_view/7249075"/>
    <hyperlink ref="B370" r:id="rId273" display="https://my.zakupki.prom.ua/remote/dispatcher/state_purchase_view/23036598"/>
    <hyperlink ref="D369" r:id="rId274" display="https://my.zakupki.prom.ua/remote/dispatcher/state_contracting_view/7248881"/>
    <hyperlink ref="B369" r:id="rId275" display="https://my.zakupki.prom.ua/remote/dispatcher/state_purchase_view/23036026"/>
    <hyperlink ref="D368" r:id="rId276" display="https://my.zakupki.prom.ua/remote/dispatcher/state_contracting_view/7570362"/>
    <hyperlink ref="B368" r:id="rId277" display="https://my.zakupki.prom.ua/remote/dispatcher/state_purchase_view/23796627"/>
    <hyperlink ref="D367" r:id="rId278" display="https://my.zakupki.prom.ua/remote/dispatcher/state_contracting_view/7567984"/>
    <hyperlink ref="B367" r:id="rId279" display="https://my.zakupki.prom.ua/remote/dispatcher/state_purchase_view/23791916"/>
    <hyperlink ref="D366" r:id="rId280" display="https://my.zakupki.prom.ua/remote/dispatcher/state_contracting_view/7568198"/>
    <hyperlink ref="B366" r:id="rId281" display="https://my.zakupki.prom.ua/remote/dispatcher/state_purchase_view/23793224"/>
    <hyperlink ref="D365" r:id="rId282" display="https://my.zakupki.prom.ua/remote/dispatcher/state_contracting_view/8162370"/>
    <hyperlink ref="B365" r:id="rId283" display="https://my.zakupki.prom.ua/remote/dispatcher/state_purchase_view/25043642"/>
    <hyperlink ref="D364" r:id="rId284" display="https://my.zakupki.prom.ua/remote/dispatcher/state_contracting_view/8320198"/>
    <hyperlink ref="B364" r:id="rId285" display="https://my.zakupki.prom.ua/remote/dispatcher/state_purchase_view/25382905"/>
    <hyperlink ref="D363" r:id="rId286" display="https://my.zakupki.prom.ua/remote/dispatcher/state_contracting_view/8293194"/>
    <hyperlink ref="B363" r:id="rId287" display="https://my.zakupki.prom.ua/remote/dispatcher/state_purchase_view/25328850"/>
    <hyperlink ref="D362" r:id="rId288" display="https://my.zakupki.prom.ua/remote/dispatcher/state_contracting_view/8293062"/>
    <hyperlink ref="B362" r:id="rId289" display="https://my.zakupki.prom.ua/remote/dispatcher/state_purchase_view/25328252"/>
    <hyperlink ref="D361" r:id="rId290" display="https://my.zakupki.prom.ua/remote/dispatcher/state_contracting_view/7701167"/>
    <hyperlink ref="B361" r:id="rId291" display="https://my.zakupki.prom.ua/remote/dispatcher/state_purchase_view/24083020"/>
    <hyperlink ref="D360" r:id="rId292" display="https://my.zakupki.prom.ua/remote/dispatcher/state_contracting_view/8716277"/>
    <hyperlink ref="B360" r:id="rId293" display="https://my.zakupki.prom.ua/remote/dispatcher/state_purchase_view/26212275"/>
    <hyperlink ref="D359" r:id="rId294" display="https://my.zakupki.prom.ua/remote/dispatcher/state_contracting_view/11687524"/>
    <hyperlink ref="B359" r:id="rId295" display="https://my.zakupki.prom.ua/remote/dispatcher/state_purchase_view/32581384"/>
    <hyperlink ref="D358" r:id="rId296" display="https://my.zakupki.prom.ua/remote/dispatcher/state_contracting_view/11565325"/>
    <hyperlink ref="B358" r:id="rId297" display="https://my.zakupki.prom.ua/remote/dispatcher/state_purchase_view/32317038"/>
    <hyperlink ref="D357" r:id="rId298" display="https://my.zakupki.prom.ua/remote/dispatcher/state_contracting_view/11565575"/>
    <hyperlink ref="B357" r:id="rId299" display="https://my.zakupki.prom.ua/remote/dispatcher/state_purchase_view/32317443"/>
    <hyperlink ref="D356" r:id="rId300" display="https://my.zakupki.prom.ua/remote/dispatcher/state_contracting_view/10606423"/>
    <hyperlink ref="B356" r:id="rId301" display="https://my.zakupki.prom.ua/remote/dispatcher/state_purchase_view/30229703"/>
    <hyperlink ref="D355" r:id="rId302" display="https://my.zakupki.prom.ua/remote/dispatcher/state_contracting_view/11377405"/>
    <hyperlink ref="B355" r:id="rId303" display="https://my.zakupki.prom.ua/remote/dispatcher/state_purchase_view/31906511"/>
    <hyperlink ref="D354" r:id="rId304" display="https://my.zakupki.prom.ua/remote/dispatcher/state_contracting_view/11893334"/>
    <hyperlink ref="B354" r:id="rId305" display="https://my.zakupki.prom.ua/remote/dispatcher/state_purchase_view/33019323"/>
    <hyperlink ref="D353" r:id="rId306" display="https://my.zakupki.prom.ua/remote/dispatcher/state_contracting_view/11721366"/>
    <hyperlink ref="B353" r:id="rId307" display="https://my.zakupki.prom.ua/remote/dispatcher/state_purchase_view/32654911"/>
    <hyperlink ref="D352" r:id="rId308" display="https://my.zakupki.prom.ua/remote/dispatcher/state_contracting_view/11719750"/>
    <hyperlink ref="B352" r:id="rId309" display="https://my.zakupki.prom.ua/remote/dispatcher/state_purchase_view/32651783"/>
    <hyperlink ref="D351" r:id="rId310" display="https://my.zakupki.prom.ua/remote/dispatcher/state_contracting_view/11720093"/>
    <hyperlink ref="B351" r:id="rId311" display="https://my.zakupki.prom.ua/remote/dispatcher/state_purchase_view/32652627"/>
    <hyperlink ref="D350" r:id="rId312" display="https://my.zakupki.prom.ua/remote/dispatcher/state_contracting_view/11718857"/>
    <hyperlink ref="B350" r:id="rId313" display="https://my.zakupki.prom.ua/remote/dispatcher/state_purchase_view/32649574"/>
    <hyperlink ref="D349" r:id="rId314" display="https://my.zakupki.prom.ua/remote/dispatcher/state_contracting_view/8357610"/>
    <hyperlink ref="B349" r:id="rId315" display="https://my.zakupki.prom.ua/remote/dispatcher/state_purchase_view/25463147"/>
    <hyperlink ref="D348" r:id="rId316" display="https://my.zakupki.prom.ua/remote/dispatcher/state_contracting_view/8559547"/>
    <hyperlink ref="B348" r:id="rId317" display="https://my.zakupki.prom.ua/remote/dispatcher/state_purchase_view/25887745"/>
    <hyperlink ref="D347" r:id="rId318" display="https://my.zakupki.prom.ua/remote/dispatcher/state_contracting_view/9118721"/>
    <hyperlink ref="B347" r:id="rId319" display="https://my.zakupki.prom.ua/remote/dispatcher/state_purchase_view/26491582"/>
    <hyperlink ref="D346" r:id="rId320" display="https://my.zakupki.prom.ua/remote/dispatcher/state_contracting_view/8456228"/>
    <hyperlink ref="B346" r:id="rId321" display="https://my.zakupki.prom.ua/remote/dispatcher/state_purchase_view/25670798"/>
    <hyperlink ref="D345" r:id="rId322" display="https://my.zakupki.prom.ua/remote/dispatcher/state_contracting_view/9043748"/>
    <hyperlink ref="B345" r:id="rId323" display="https://my.zakupki.prom.ua/remote/dispatcher/state_purchase_view/26790625"/>
    <hyperlink ref="D344" r:id="rId324" display="https://my.zakupki.prom.ua/remote/dispatcher/state_contracting_view/8180132"/>
    <hyperlink ref="B344" r:id="rId325" display="https://my.zakupki.prom.ua/remote/dispatcher/state_purchase_view/25083088"/>
    <hyperlink ref="D343" r:id="rId326" display="https://my.zakupki.prom.ua/remote/dispatcher/state_contracting_view/8202033"/>
    <hyperlink ref="B343" r:id="rId327" display="https://my.zakupki.prom.ua/remote/dispatcher/state_purchase_view/25128550"/>
    <hyperlink ref="D342" r:id="rId328" display="https://my.zakupki.prom.ua/remote/dispatcher/state_contracting_view/7874238"/>
    <hyperlink ref="B342" r:id="rId329" display="https://my.zakupki.prom.ua/remote/dispatcher/state_purchase_view/24449431"/>
    <hyperlink ref="D341" r:id="rId330" display="https://my.zakupki.prom.ua/remote/dispatcher/state_contracting_view/7602016"/>
    <hyperlink ref="B341" r:id="rId331" display="https://my.zakupki.prom.ua/remote/dispatcher/state_purchase_view/23867135"/>
    <hyperlink ref="D340" r:id="rId332" display="https://my.zakupki.prom.ua/remote/dispatcher/state_contracting_view/7940866"/>
    <hyperlink ref="B340" r:id="rId333" display="https://my.zakupki.prom.ua/remote/dispatcher/state_purchase_view/24577463"/>
    <hyperlink ref="D339" r:id="rId334" display="https://my.zakupki.prom.ua/remote/dispatcher/state_contracting_view/7943155"/>
    <hyperlink ref="B339" r:id="rId335" display="https://my.zakupki.prom.ua/remote/dispatcher/state_purchase_view/24582979"/>
    <hyperlink ref="D338" r:id="rId336" display="https://my.zakupki.prom.ua/remote/dispatcher/state_contracting_view/11566528"/>
    <hyperlink ref="B338" r:id="rId337" display="https://my.zakupki.prom.ua/remote/dispatcher/state_purchase_view/32319384"/>
    <hyperlink ref="D337" r:id="rId338" display="https://my.zakupki.prom.ua/remote/dispatcher/state_contracting_view/10861002"/>
    <hyperlink ref="B337" r:id="rId339" display="https://my.zakupki.prom.ua/remote/dispatcher/state_purchase_view/30782727"/>
    <hyperlink ref="D336" r:id="rId340" display="https://my.zakupki.prom.ua/remote/dispatcher/state_contracting_view/11722031"/>
    <hyperlink ref="B336" r:id="rId341" display="https://my.zakupki.prom.ua/remote/dispatcher/state_purchase_view/32656497"/>
    <hyperlink ref="D335" r:id="rId342" display="https://my.zakupki.prom.ua/remote/dispatcher/state_contracting_view/12092618"/>
    <hyperlink ref="B335" r:id="rId343" display="https://my.zakupki.prom.ua/remote/dispatcher/state_purchase_view/33429302"/>
    <hyperlink ref="D334" r:id="rId344" display="https://my.zakupki.prom.ua/remote/dispatcher/state_contracting_view/8561258"/>
    <hyperlink ref="B334" r:id="rId345" display="https://my.zakupki.prom.ua/remote/dispatcher/state_purchase_view/25891436"/>
    <hyperlink ref="D333" r:id="rId346" display="https://my.zakupki.prom.ua/remote/dispatcher/state_contracting_view/8907234"/>
    <hyperlink ref="B333" r:id="rId347" display="https://my.zakupki.prom.ua/remote/dispatcher/state_purchase_view/26612128"/>
    <hyperlink ref="D332" r:id="rId348" display="https://my.zakupki.prom.ua/remote/dispatcher/state_contracting_view/8863540"/>
    <hyperlink ref="B332" r:id="rId349" display="https://my.zakupki.prom.ua/remote/dispatcher/state_purchase_view/26518539"/>
    <hyperlink ref="D331" r:id="rId350" display="https://my.zakupki.prom.ua/remote/dispatcher/state_contracting_view/7572053"/>
    <hyperlink ref="B331" r:id="rId351" display="https://my.zakupki.prom.ua/remote/dispatcher/state_purchase_view/23800602"/>
    <hyperlink ref="D330" r:id="rId352" display="https://my.zakupki.prom.ua/remote/dispatcher/state_contracting_view/7497093"/>
    <hyperlink ref="B330" r:id="rId353" display="https://my.zakupki.prom.ua/remote/dispatcher/state_purchase_view/23633940"/>
    <hyperlink ref="D329" r:id="rId354" display="https://my.zakupki.prom.ua/remote/dispatcher/state_contracting_view/7477622"/>
    <hyperlink ref="B329" r:id="rId355" display="https://my.zakupki.prom.ua/remote/dispatcher/state_purchase_view/23588276"/>
    <hyperlink ref="D328" r:id="rId356" display="https://my.zakupki.prom.ua/remote/dispatcher/state_contracting_view/8090243"/>
    <hyperlink ref="B328" r:id="rId357" display="https://my.zakupki.prom.ua/remote/dispatcher/state_purchase_view/24901008"/>
    <hyperlink ref="D327" r:id="rId358" display="https://my.zakupki.prom.ua/remote/dispatcher/state_contracting_view/7943037"/>
    <hyperlink ref="B327" r:id="rId359" display="https://my.zakupki.prom.ua/remote/dispatcher/state_purchase_view/24582670"/>
    <hyperlink ref="D326" r:id="rId360" display="https://my.zakupki.prom.ua/remote/dispatcher/state_contracting_view/11330138"/>
    <hyperlink ref="B326" r:id="rId361" display="https://my.zakupki.prom.ua/remote/dispatcher/state_purchase_view/31796421"/>
    <hyperlink ref="D325" r:id="rId362" display="https://my.zakupki.prom.ua/remote/dispatcher/state_contracting_view/11325486"/>
    <hyperlink ref="B325" r:id="rId363" display="https://my.zakupki.prom.ua/remote/dispatcher/state_purchase_view/31794555"/>
    <hyperlink ref="D324" r:id="rId364" display="https://my.zakupki.prom.ua/remote/dispatcher/state_contracting_view/11566739"/>
    <hyperlink ref="B324" r:id="rId365" display="https://my.zakupki.prom.ua/remote/dispatcher/state_purchase_view/32319859"/>
    <hyperlink ref="D323" r:id="rId366" display="https://my.zakupki.prom.ua/remote/dispatcher/state_contracting_view/10592240"/>
    <hyperlink ref="B323" r:id="rId367" display="https://my.zakupki.prom.ua/remote/dispatcher/state_purchase_view/30198690"/>
    <hyperlink ref="D322" r:id="rId368" display="https://my.zakupki.prom.ua/remote/dispatcher/state_contracting_view/11190008"/>
    <hyperlink ref="B322" r:id="rId369" display="https://my.zakupki.prom.ua/remote/dispatcher/state_purchase_view/31499794"/>
    <hyperlink ref="D321" r:id="rId370" display="https://my.zakupki.prom.ua/remote/dispatcher/state_contracting_view/9119661"/>
    <hyperlink ref="B321" r:id="rId371" display="https://my.zakupki.prom.ua/remote/dispatcher/state_purchase_view/26488877"/>
    <hyperlink ref="D320" r:id="rId372" display="https://my.zakupki.prom.ua/remote/dispatcher/state_contracting_view/9041756"/>
    <hyperlink ref="B320" r:id="rId373" display="https://my.zakupki.prom.ua/remote/dispatcher/state_purchase_view/26894722"/>
    <hyperlink ref="D319" r:id="rId374" display="https://my.zakupki.prom.ua/remote/dispatcher/state_contracting_view/9975148"/>
    <hyperlink ref="B319" r:id="rId375" display="https://my.zakupki.prom.ua/remote/dispatcher/state_purchase_view/28870593"/>
    <hyperlink ref="D318" r:id="rId376" display="https://my.zakupki.prom.ua/remote/dispatcher/state_contracting_view/11475756"/>
    <hyperlink ref="B318" r:id="rId377" display="https://my.zakupki.prom.ua/remote/dispatcher/state_purchase_view/32121736"/>
    <hyperlink ref="D317" r:id="rId378" display="https://my.zakupki.prom.ua/remote/dispatcher/state_contracting_view/10340513"/>
    <hyperlink ref="B317" r:id="rId379" display="https://my.zakupki.prom.ua/remote/dispatcher/state_purchase_view/29654471"/>
    <hyperlink ref="D316" r:id="rId380" display="https://my.zakupki.prom.ua/remote/dispatcher/state_contracting_view/11188857"/>
    <hyperlink ref="B316" r:id="rId381" display="https://my.zakupki.prom.ua/remote/dispatcher/state_purchase_view/31497404"/>
    <hyperlink ref="D315" r:id="rId382" display="https://my.zakupki.prom.ua/remote/dispatcher/state_contracting_view/10794847"/>
    <hyperlink ref="B315" r:id="rId383" display="https://my.zakupki.prom.ua/remote/dispatcher/state_purchase_view/30640943"/>
    <hyperlink ref="D314" r:id="rId384" display="https://my.zakupki.prom.ua/remote/dispatcher/state_contracting_view/11059073"/>
    <hyperlink ref="B314" r:id="rId385" display="https://my.zakupki.prom.ua/remote/dispatcher/state_purchase_view/31213471"/>
    <hyperlink ref="D313" r:id="rId386" display="https://my.zakupki.prom.ua/remote/dispatcher/state_contracting_view/10981495"/>
    <hyperlink ref="B313" r:id="rId387" display="https://my.zakupki.prom.ua/remote/dispatcher/state_purchase_view/31043962"/>
    <hyperlink ref="D312" r:id="rId388" display="https://my.zakupki.prom.ua/remote/dispatcher/state_contracting_view/11721964"/>
    <hyperlink ref="B312" r:id="rId389" display="https://my.zakupki.prom.ua/remote/dispatcher/state_purchase_view/32656033"/>
    <hyperlink ref="D311" r:id="rId390" display="https://my.zakupki.prom.ua/remote/dispatcher/state_contracting_view/11721744"/>
    <hyperlink ref="B311" r:id="rId391" display="https://my.zakupki.prom.ua/remote/dispatcher/state_purchase_view/32655555"/>
    <hyperlink ref="D310" r:id="rId392" display="https://my.zakupki.prom.ua/remote/dispatcher/state_contracting_view/11559177"/>
    <hyperlink ref="B310" r:id="rId393" display="https://my.zakupki.prom.ua/remote/dispatcher/state_purchase_view/32301812"/>
    <hyperlink ref="D309" r:id="rId394" display="https://my.zakupki.prom.ua/remote/dispatcher/state_contracting_view/11627336"/>
    <hyperlink ref="B309" r:id="rId395" display="https://my.zakupki.prom.ua/remote/dispatcher/state_purchase_view/32449090"/>
    <hyperlink ref="D308" r:id="rId396" display="https://my.zakupki.prom.ua/remote/dispatcher/state_contracting_view/11628956"/>
    <hyperlink ref="B308" r:id="rId397" display="https://my.zakupki.prom.ua/remote/dispatcher/state_purchase_view/32451923"/>
    <hyperlink ref="D307" r:id="rId398" display="https://my.zakupki.prom.ua/remote/dispatcher/state_contracting_view/11687668"/>
    <hyperlink ref="B307" r:id="rId399" display="https://my.zakupki.prom.ua/remote/dispatcher/state_purchase_view/32581830"/>
    <hyperlink ref="D306" r:id="rId400" display="https://my.zakupki.prom.ua/remote/dispatcher/state_contracting_view/11774057"/>
    <hyperlink ref="B306" r:id="rId401" display="https://my.zakupki.prom.ua/remote/dispatcher/state_purchase_view/32766985"/>
    <hyperlink ref="D305" r:id="rId402" display="https://my.zakupki.prom.ua/remote/dispatcher/state_contracting_view/11564847"/>
    <hyperlink ref="B305" r:id="rId403" display="https://my.zakupki.prom.ua/remote/dispatcher/state_purchase_view/32315779"/>
    <hyperlink ref="D304" r:id="rId404" display="https://my.zakupki.prom.ua/remote/dispatcher/state_contracting_view/11564676"/>
    <hyperlink ref="B304" r:id="rId405" display="https://my.zakupki.prom.ua/remote/dispatcher/state_purchase_view/32315319"/>
    <hyperlink ref="D303" r:id="rId406" display="https://my.zakupki.prom.ua/remote/dispatcher/state_contracting_view/8164456"/>
    <hyperlink ref="B303" r:id="rId407" display="https://my.zakupki.prom.ua/remote/dispatcher/state_purchase_view/25057392"/>
    <hyperlink ref="D302" r:id="rId408" display="https://my.zakupki.prom.ua/remote/dispatcher/state_contracting_view/8247516"/>
    <hyperlink ref="B302" r:id="rId409" display="https://my.zakupki.prom.ua/remote/dispatcher/state_purchase_view/25209103"/>
    <hyperlink ref="D301" r:id="rId410" display="https://my.zakupki.prom.ua/remote/dispatcher/state_contracting_view/8162465"/>
    <hyperlink ref="B301" r:id="rId411" display="https://my.zakupki.prom.ua/remote/dispatcher/state_purchase_view/25043891"/>
    <hyperlink ref="D300" r:id="rId412" display="https://my.zakupki.prom.ua/remote/dispatcher/state_contracting_view/8121040"/>
    <hyperlink ref="B300" r:id="rId413" display="https://my.zakupki.prom.ua/remote/dispatcher/state_purchase_view/24966888"/>
    <hyperlink ref="D299" r:id="rId414" display="https://my.zakupki.prom.ua/remote/dispatcher/state_contracting_view/8456711"/>
    <hyperlink ref="B299" r:id="rId415" display="https://my.zakupki.prom.ua/remote/dispatcher/state_purchase_view/25671663"/>
    <hyperlink ref="D298" r:id="rId416" display="https://my.zakupki.prom.ua/remote/dispatcher/state_contracting_view/8737460"/>
    <hyperlink ref="B298" r:id="rId417" display="https://my.zakupki.prom.ua/remote/dispatcher/state_purchase_view/26256258"/>
    <hyperlink ref="D297" r:id="rId418" display="https://my.zakupki.prom.ua/remote/dispatcher/state_contracting_view/7587903"/>
    <hyperlink ref="B297" r:id="rId419" display="https://my.zakupki.prom.ua/remote/dispatcher/state_purchase_view/23836541"/>
    <hyperlink ref="D296" r:id="rId420" display="https://my.zakupki.prom.ua/remote/dispatcher/state_contracting_view/7604109"/>
    <hyperlink ref="B296" r:id="rId421" display="https://my.zakupki.prom.ua/remote/dispatcher/state_purchase_view/23870702"/>
    <hyperlink ref="D295" r:id="rId422" display="https://my.zakupki.prom.ua/remote/dispatcher/state_contracting_view/7328420"/>
    <hyperlink ref="B295" r:id="rId423" display="https://my.zakupki.prom.ua/remote/dispatcher/state_purchase_view/23243229"/>
    <hyperlink ref="D294" r:id="rId424" display="https://my.zakupki.prom.ua/remote/dispatcher/state_contracting_view/11557646"/>
    <hyperlink ref="B294" r:id="rId425" display="https://my.zakupki.prom.ua/remote/dispatcher/state_purchase_view/32299544"/>
    <hyperlink ref="D293" r:id="rId426" display="https://my.zakupki.prom.ua/remote/dispatcher/state_contracting_view/11719266"/>
    <hyperlink ref="B293" r:id="rId427" display="https://my.zakupki.prom.ua/remote/dispatcher/state_purchase_view/32650799"/>
    <hyperlink ref="D292" r:id="rId428" display="https://my.zakupki.prom.ua/remote/dispatcher/state_contracting_view/11564990"/>
    <hyperlink ref="B292" r:id="rId429" display="https://my.zakupki.prom.ua/remote/dispatcher/state_purchase_view/32316446"/>
    <hyperlink ref="D291" r:id="rId430" display="https://my.zakupki.prom.ua/remote/dispatcher/state_contracting_view/8374119"/>
    <hyperlink ref="B291" r:id="rId431" display="https://my.zakupki.prom.ua/remote/dispatcher/state_purchase_view/25497909"/>
    <hyperlink ref="D290" r:id="rId432" display="https://my.zakupki.prom.ua/remote/dispatcher/state_contracting_view/7598633"/>
    <hyperlink ref="B290" r:id="rId433" display="https://my.zakupki.prom.ua/remote/dispatcher/state_purchase_view/23859277"/>
    <hyperlink ref="D289" r:id="rId434" display="https://my.zakupki.prom.ua/remote/dispatcher/state_contracting_view/7587334"/>
    <hyperlink ref="B289" r:id="rId435" display="https://my.zakupki.prom.ua/remote/dispatcher/state_purchase_view/23835806"/>
    <hyperlink ref="D288" r:id="rId436" display="https://my.zakupki.prom.ua/remote/dispatcher/state_contracting_view/8095271"/>
    <hyperlink ref="B288" r:id="rId437" display="https://my.zakupki.prom.ua/remote/dispatcher/state_purchase_view/24912883"/>
    <hyperlink ref="D287" r:id="rId438" display="https://my.zakupki.prom.ua/remote/dispatcher/state_contracting_view/8051936"/>
    <hyperlink ref="B287" r:id="rId439" display="https://my.zakupki.prom.ua/remote/dispatcher/state_purchase_view/24822467"/>
    <hyperlink ref="D286" r:id="rId440" display="https://my.zakupki.prom.ua/remote/dispatcher/state_contracting_view/8456502"/>
    <hyperlink ref="B286" r:id="rId441" display="https://my.zakupki.prom.ua/remote/dispatcher/state_purchase_view/25671256"/>
    <hyperlink ref="D285" r:id="rId442" display="https://my.zakupki.prom.ua/remote/dispatcher/state_contracting_view/8456074"/>
    <hyperlink ref="B285" r:id="rId443" display="https://my.zakupki.prom.ua/remote/dispatcher/state_purchase_view/25670215"/>
    <hyperlink ref="D284" r:id="rId444" display="https://my.zakupki.prom.ua/remote/dispatcher/state_contracting_view/8207863"/>
    <hyperlink ref="B284" r:id="rId445" display="https://my.zakupki.prom.ua/remote/dispatcher/state_purchase_view/25148858"/>
    <hyperlink ref="D283" r:id="rId446" display="https://my.zakupki.prom.ua/remote/dispatcher/state_contracting_view/8164299"/>
    <hyperlink ref="B283" r:id="rId447" display="https://my.zakupki.prom.ua/remote/dispatcher/state_purchase_view/25057038"/>
    <hyperlink ref="D282" r:id="rId448" display="https://my.zakupki.prom.ua/remote/dispatcher/state_contracting_view/8649116"/>
    <hyperlink ref="B282" r:id="rId449" display="https://my.zakupki.prom.ua/remote/dispatcher/state_purchase_view/26074433"/>
    <hyperlink ref="D281" r:id="rId450" display="https://my.zakupki.prom.ua/remote/dispatcher/state_contracting_view/7257110"/>
    <hyperlink ref="B281" r:id="rId451" display="https://my.zakupki.prom.ua/remote/dispatcher/state_purchase_view/23058603"/>
    <hyperlink ref="D280" r:id="rId452" display="https://my.zakupki.prom.ua/remote/dispatcher/state_contracting_view/10735457"/>
    <hyperlink ref="B280" r:id="rId453" display="https://my.zakupki.prom.ua/remote/dispatcher/state_purchase_view/30510298"/>
    <hyperlink ref="D279" r:id="rId454" display="https://my.zakupki.prom.ua/remote/dispatcher/state_contracting_view/9206417"/>
    <hyperlink ref="B279" r:id="rId455" display="https://my.zakupki.prom.ua/remote/dispatcher/state_purchase_view/27243215"/>
    <hyperlink ref="D278" r:id="rId456" display="https://my.zakupki.prom.ua/remote/dispatcher/state_contracting_view/8908438"/>
    <hyperlink ref="B278" r:id="rId457" display="https://my.zakupki.prom.ua/remote/dispatcher/state_purchase_view/26614669"/>
    <hyperlink ref="D277" r:id="rId458" display="https://my.zakupki.prom.ua/remote/dispatcher/state_contracting_view/8862044"/>
    <hyperlink ref="B277" r:id="rId459" display="https://my.zakupki.prom.ua/remote/dispatcher/state_purchase_view/26513742"/>
    <hyperlink ref="D276" r:id="rId460" display="https://my.zakupki.prom.ua/remote/dispatcher/state_contracting_view/11282155"/>
    <hyperlink ref="B276" r:id="rId461" display="https://my.zakupki.prom.ua/remote/dispatcher/state_purchase_view/31702296"/>
    <hyperlink ref="D275" r:id="rId462" display="https://my.zakupki.prom.ua/remote/dispatcher/state_contracting_view/11282692"/>
    <hyperlink ref="B275" r:id="rId463" display="https://my.zakupki.prom.ua/remote/dispatcher/state_purchase_view/31703587"/>
    <hyperlink ref="D274" r:id="rId464" display="https://my.zakupki.prom.ua/remote/dispatcher/state_contracting_view/11058981"/>
    <hyperlink ref="B274" r:id="rId465" display="https://my.zakupki.prom.ua/remote/dispatcher/state_purchase_view/31212946"/>
    <hyperlink ref="D273" r:id="rId466" display="https://my.zakupki.prom.ua/remote/dispatcher/state_contracting_view/10474732"/>
    <hyperlink ref="B273" r:id="rId467" display="https://my.zakupki.prom.ua/remote/dispatcher/state_purchase_view/28716212"/>
    <hyperlink ref="D272" r:id="rId468" display="https://my.zakupki.prom.ua/remote/dispatcher/state_contracting_view/10482637"/>
    <hyperlink ref="B272" r:id="rId469" display="https://my.zakupki.prom.ua/remote/dispatcher/state_purchase_view/29961962"/>
    <hyperlink ref="D271" r:id="rId470" display="https://my.zakupki.prom.ua/remote/dispatcher/state_contracting_view/10588057"/>
    <hyperlink ref="B271" r:id="rId471" display="https://my.zakupki.prom.ua/remote/dispatcher/state_purchase_view/30190075"/>
    <hyperlink ref="D270" r:id="rId472" display="https://my.zakupki.prom.ua/remote/dispatcher/state_contracting_view/8864317"/>
    <hyperlink ref="B270" r:id="rId473" display="https://my.zakupki.prom.ua/remote/dispatcher/state_purchase_view/26520133"/>
    <hyperlink ref="D269" r:id="rId474" display="https://my.zakupki.prom.ua/remote/dispatcher/state_contracting_view/8803824"/>
    <hyperlink ref="B269" r:id="rId475" display="https://my.zakupki.prom.ua/remote/dispatcher/state_purchase_view/26394233"/>
    <hyperlink ref="D268" r:id="rId476" display="https://my.zakupki.prom.ua/remote/dispatcher/state_contracting_view/12009179"/>
    <hyperlink ref="B268" r:id="rId477" display="https://my.zakupki.prom.ua/remote/dispatcher/state_purchase_view/33260206"/>
    <hyperlink ref="D267" r:id="rId478" display="https://my.zakupki.prom.ua/remote/dispatcher/state_contracting_view/9682687"/>
    <hyperlink ref="B267" r:id="rId479" display="https://my.zakupki.prom.ua/remote/dispatcher/state_purchase_view/28246673"/>
    <hyperlink ref="D266" r:id="rId480" display="https://my.zakupki.prom.ua/remote/dispatcher/state_contracting_view/11687072"/>
    <hyperlink ref="B266" r:id="rId481" display="https://my.zakupki.prom.ua/remote/dispatcher/state_purchase_view/32580977"/>
    <hyperlink ref="D265" r:id="rId482" display="https://my.zakupki.prom.ua/remote/dispatcher/state_contracting_view/9108519"/>
    <hyperlink ref="B265" r:id="rId483" display="https://my.zakupki.prom.ua/remote/dispatcher/state_purchase_view/27035643"/>
    <hyperlink ref="D264" r:id="rId484" display="https://my.zakupki.prom.ua/remote/dispatcher/state_contracting_view/10819787"/>
    <hyperlink ref="B264" r:id="rId485" display="https://my.zakupki.prom.ua/remote/dispatcher/state_purchase_view/30025891"/>
    <hyperlink ref="D263" r:id="rId486" display="https://my.zakupki.prom.ua/remote/dispatcher/state_contracting_view/11280961"/>
    <hyperlink ref="B263" r:id="rId487" display="https://my.zakupki.prom.ua/remote/dispatcher/state_purchase_view/31698583"/>
    <hyperlink ref="D262" r:id="rId488" display="https://my.zakupki.prom.ua/remote/dispatcher/state_contracting_view/11775700"/>
    <hyperlink ref="B262" r:id="rId489" display="https://my.zakupki.prom.ua/remote/dispatcher/state_purchase_view/32768554"/>
    <hyperlink ref="D261" r:id="rId490" display="https://my.zakupki.prom.ua/remote/dispatcher/state_contracting_view/11720819"/>
    <hyperlink ref="B261" r:id="rId491" display="https://my.zakupki.prom.ua/remote/dispatcher/state_purchase_view/32653568"/>
    <hyperlink ref="D260" r:id="rId492" display="https://my.zakupki.prom.ua/remote/dispatcher/state_contracting_view/11059457"/>
    <hyperlink ref="B260" r:id="rId493" display="https://my.zakupki.prom.ua/remote/dispatcher/state_purchase_view/31214522"/>
    <hyperlink ref="D259" r:id="rId494" display="https://my.zakupki.prom.ua/remote/dispatcher/state_contracting_view/11371267"/>
    <hyperlink ref="B259" r:id="rId495" display="https://my.zakupki.prom.ua/remote/dispatcher/state_purchase_view/31893761"/>
    <hyperlink ref="D258" r:id="rId496" display="https://my.zakupki.prom.ua/remote/dispatcher/state_contracting_view/10588297"/>
    <hyperlink ref="B258" r:id="rId497" display="https://my.zakupki.prom.ua/remote/dispatcher/state_purchase_view/30190574"/>
    <hyperlink ref="D257" r:id="rId498" display="https://my.zakupki.prom.ua/remote/dispatcher/state_contracting_view/10589554"/>
    <hyperlink ref="B257" r:id="rId499" display="https://my.zakupki.prom.ua/remote/dispatcher/state_purchase_view/30193663"/>
    <hyperlink ref="D256" r:id="rId500" display="https://my.zakupki.prom.ua/remote/dispatcher/state_contracting_view/9119403"/>
    <hyperlink ref="B256" r:id="rId501" display="https://my.zakupki.prom.ua/remote/dispatcher/state_purchase_view/26492926"/>
    <hyperlink ref="D255" r:id="rId502" display="https://my.zakupki.prom.ua/remote/dispatcher/state_contracting_view/8456203"/>
    <hyperlink ref="B255" r:id="rId503" display="https://my.zakupki.prom.ua/remote/dispatcher/state_purchase_view/25670438"/>
    <hyperlink ref="D254" r:id="rId504" display="https://my.zakupki.prom.ua/remote/dispatcher/state_contracting_view/8456802"/>
    <hyperlink ref="B254" r:id="rId505" display="https://my.zakupki.prom.ua/remote/dispatcher/state_purchase_view/25672073"/>
    <hyperlink ref="D253" r:id="rId506" display="https://my.zakupki.prom.ua/remote/dispatcher/state_contracting_view/8384411"/>
    <hyperlink ref="B253" r:id="rId507" display="https://my.zakupki.prom.ua/remote/dispatcher/state_purchase_view/25519137"/>
    <hyperlink ref="D252" r:id="rId508" display="https://my.zakupki.prom.ua/remote/dispatcher/state_contracting_view/8164377"/>
    <hyperlink ref="B252" r:id="rId509" display="https://my.zakupki.prom.ua/remote/dispatcher/state_purchase_view/25057211"/>
    <hyperlink ref="D251" r:id="rId510" display="https://my.zakupki.prom.ua/remote/dispatcher/state_contracting_view/8119499"/>
    <hyperlink ref="B251" r:id="rId511" display="https://my.zakupki.prom.ua/remote/dispatcher/state_purchase_view/24963598"/>
    <hyperlink ref="D250" r:id="rId512" display="https://my.zakupki.prom.ua/remote/dispatcher/state_contracting_view/8121572"/>
    <hyperlink ref="B250" r:id="rId513" display="https://my.zakupki.prom.ua/remote/dispatcher/state_purchase_view/24967572"/>
    <hyperlink ref="D249" r:id="rId514" display="https://my.zakupki.prom.ua/remote/dispatcher/state_contracting_view/8161937"/>
    <hyperlink ref="B249" r:id="rId515" display="https://my.zakupki.prom.ua/remote/dispatcher/state_purchase_view/25042846"/>
    <hyperlink ref="D248" r:id="rId516" display="https://my.zakupki.prom.ua/remote/dispatcher/state_contracting_view/8162279"/>
    <hyperlink ref="B248" r:id="rId517" display="https://my.zakupki.prom.ua/remote/dispatcher/state_purchase_view/25043770"/>
    <hyperlink ref="D247" r:id="rId518" display="https://my.zakupki.prom.ua/remote/dispatcher/state_contracting_view/8244491"/>
    <hyperlink ref="B247" r:id="rId519" display="https://my.zakupki.prom.ua/remote/dispatcher/state_purchase_view/25204822"/>
    <hyperlink ref="D246" r:id="rId520" display="https://my.zakupki.prom.ua/remote/dispatcher/state_contracting_view/8095506"/>
    <hyperlink ref="B246" r:id="rId521" display="https://my.zakupki.prom.ua/remote/dispatcher/state_purchase_view/24913084"/>
    <hyperlink ref="D245" r:id="rId522" display="https://my.zakupki.prom.ua/remote/dispatcher/state_contracting_view/8557804"/>
    <hyperlink ref="B245" r:id="rId523" display="https://my.zakupki.prom.ua/remote/dispatcher/state_purchase_view/25883379"/>
    <hyperlink ref="D244" r:id="rId524" display="https://my.zakupki.prom.ua/remote/dispatcher/state_contracting_view/8560798"/>
    <hyperlink ref="B244" r:id="rId525" display="https://my.zakupki.prom.ua/remote/dispatcher/state_purchase_view/25890098"/>
    <hyperlink ref="D243" r:id="rId526" display="https://my.zakupki.prom.ua/remote/dispatcher/state_contracting_view/8560954"/>
    <hyperlink ref="B243" r:id="rId527" display="https://my.zakupki.prom.ua/remote/dispatcher/state_purchase_view/25890518"/>
    <hyperlink ref="D242" r:id="rId528" display="https://my.zakupki.prom.ua/remote/dispatcher/state_contracting_view/7941602"/>
    <hyperlink ref="B242" r:id="rId529" display="https://my.zakupki.prom.ua/remote/dispatcher/state_purchase_view/24580613"/>
    <hyperlink ref="D241" r:id="rId530" display="https://my.zakupki.prom.ua/remote/dispatcher/state_contracting_view/8908601"/>
    <hyperlink ref="B241" r:id="rId531" display="https://my.zakupki.prom.ua/remote/dispatcher/state_purchase_view/26614968"/>
    <hyperlink ref="D240" r:id="rId532" display="https://my.zakupki.prom.ua/remote/dispatcher/state_contracting_view/7601160"/>
    <hyperlink ref="B240" r:id="rId533" display="https://my.zakupki.prom.ua/remote/dispatcher/state_purchase_view/23865439"/>
    <hyperlink ref="D239" r:id="rId534" display="https://my.zakupki.prom.ua/remote/dispatcher/state_contracting_view/7572403"/>
    <hyperlink ref="B239" r:id="rId535" display="https://my.zakupki.prom.ua/remote/dispatcher/state_purchase_view/23802242"/>
    <hyperlink ref="D238" r:id="rId536" display="https://my.zakupki.prom.ua/remote/dispatcher/state_contracting_view/7574704"/>
    <hyperlink ref="B238" r:id="rId537" display="https://my.zakupki.prom.ua/remote/dispatcher/state_purchase_view/23807508"/>
    <hyperlink ref="D237" r:id="rId538" display="https://my.zakupki.prom.ua/remote/dispatcher/state_contracting_view/11370755"/>
    <hyperlink ref="B237" r:id="rId539" display="https://my.zakupki.prom.ua/remote/dispatcher/state_purchase_view/31892245"/>
    <hyperlink ref="D236" r:id="rId540" display="https://my.zakupki.prom.ua/remote/dispatcher/state_contracting_view/11892555"/>
    <hyperlink ref="B236" r:id="rId541" display="https://my.zakupki.prom.ua/remote/dispatcher/state_purchase_view/33017545"/>
    <hyperlink ref="D235" r:id="rId542" display="https://my.zakupki.prom.ua/remote/dispatcher/state_contracting_view/11892334"/>
    <hyperlink ref="B235" r:id="rId543" display="https://my.zakupki.prom.ua/remote/dispatcher/state_purchase_view/33016849"/>
    <hyperlink ref="D234" r:id="rId544" display="https://my.zakupki.prom.ua/remote/dispatcher/state_contracting_view/11893079"/>
    <hyperlink ref="B234" r:id="rId545" display="https://my.zakupki.prom.ua/remote/dispatcher/state_purchase_view/33018633"/>
    <hyperlink ref="D233" r:id="rId546" display="https://my.zakupki.prom.ua/remote/dispatcher/state_contracting_view/10950779"/>
    <hyperlink ref="B233" r:id="rId547" display="https://my.zakupki.prom.ua/remote/dispatcher/state_purchase_view/30977313"/>
    <hyperlink ref="D232" r:id="rId548" display="https://my.zakupki.prom.ua/remote/dispatcher/state_contracting_view/10951244"/>
    <hyperlink ref="B232" r:id="rId549" display="https://my.zakupki.prom.ua/remote/dispatcher/state_purchase_view/30978102"/>
    <hyperlink ref="D231" r:id="rId550" display="https://my.zakupki.prom.ua/remote/dispatcher/state_contracting_view/10595753"/>
    <hyperlink ref="B231" r:id="rId551" display="https://my.zakupki.prom.ua/remote/dispatcher/state_purchase_view/30199506"/>
    <hyperlink ref="D230" r:id="rId552" display="https://my.zakupki.prom.ua/remote/dispatcher/state_contracting_view/12168156"/>
    <hyperlink ref="B230" r:id="rId553" display="https://my.zakupki.prom.ua/remote/dispatcher/state_purchase_view/33582255"/>
    <hyperlink ref="D229" r:id="rId554" display="https://my.zakupki.prom.ua/remote/dispatcher/state_contracting_view/11948130"/>
    <hyperlink ref="B229" r:id="rId555" display="https://my.zakupki.prom.ua/remote/dispatcher/state_purchase_view/33131741"/>
    <hyperlink ref="D228" r:id="rId556" display="https://my.zakupki.prom.ua/remote/dispatcher/state_contracting_view/11558596"/>
    <hyperlink ref="B228" r:id="rId557" display="https://my.zakupki.prom.ua/remote/dispatcher/state_purchase_view/32300886"/>
    <hyperlink ref="D227" r:id="rId558" display="https://my.zakupki.prom.ua/remote/dispatcher/state_contracting_view/11566993"/>
    <hyperlink ref="B227" r:id="rId559" display="https://my.zakupki.prom.ua/remote/dispatcher/state_purchase_view/32320196"/>
    <hyperlink ref="D226" r:id="rId560" display="https://my.zakupki.prom.ua/remote/dispatcher/state_contracting_view/9660991"/>
    <hyperlink ref="B226" r:id="rId561" display="https://my.zakupki.prom.ua/remote/dispatcher/state_purchase_view/28199488"/>
    <hyperlink ref="D225" r:id="rId562" display="https://my.zakupki.prom.ua/remote/dispatcher/state_contracting_view/8164571"/>
    <hyperlink ref="B225" r:id="rId563" display="https://my.zakupki.prom.ua/remote/dispatcher/state_purchase_view/25057826"/>
    <hyperlink ref="D224" r:id="rId564" display="https://my.zakupki.prom.ua/remote/dispatcher/state_contracting_view/8161961"/>
    <hyperlink ref="B224" r:id="rId565" display="https://my.zakupki.prom.ua/remote/dispatcher/state_purchase_view/25043244"/>
    <hyperlink ref="D223" r:id="rId566" display="https://my.zakupki.prom.ua/remote/dispatcher/state_contracting_view/8121777"/>
    <hyperlink ref="B223" r:id="rId567" display="https://my.zakupki.prom.ua/remote/dispatcher/state_purchase_view/24968285"/>
    <hyperlink ref="D222" r:id="rId568" display="https://my.zakupki.prom.ua/remote/dispatcher/state_contracting_view/8122281"/>
    <hyperlink ref="B222" r:id="rId569" display="https://my.zakupki.prom.ua/remote/dispatcher/state_purchase_view/24969109"/>
    <hyperlink ref="D221" r:id="rId570" display="https://my.zakupki.prom.ua/remote/dispatcher/state_contracting_view/8871547"/>
    <hyperlink ref="B221" r:id="rId571" display="https://my.zakupki.prom.ua/remote/dispatcher/state_purchase_view/26534334"/>
    <hyperlink ref="D220" r:id="rId572" display="https://my.zakupki.prom.ua/remote/dispatcher/state_contracting_view/8789789"/>
    <hyperlink ref="B220" r:id="rId573" display="https://my.zakupki.prom.ua/remote/dispatcher/state_purchase_view/26365318"/>
    <hyperlink ref="D219" r:id="rId574" display="https://my.zakupki.prom.ua/remote/dispatcher/state_contracting_view/8277207"/>
    <hyperlink ref="B219" r:id="rId575" display="https://my.zakupki.prom.ua/remote/dispatcher/state_purchase_view/25254966"/>
    <hyperlink ref="D218" r:id="rId576" display="https://my.zakupki.prom.ua/remote/dispatcher/state_contracting_view/8246461"/>
    <hyperlink ref="B218" r:id="rId577" display="https://my.zakupki.prom.ua/remote/dispatcher/state_purchase_view/25207114"/>
    <hyperlink ref="D217" r:id="rId578" display="https://my.zakupki.prom.ua/remote/dispatcher/state_contracting_view/8559976"/>
    <hyperlink ref="B217" r:id="rId579" display="https://my.zakupki.prom.ua/remote/dispatcher/state_purchase_view/25888708"/>
    <hyperlink ref="D216" r:id="rId580" display="https://my.zakupki.prom.ua/remote/dispatcher/state_contracting_view/8562168"/>
    <hyperlink ref="B216" r:id="rId581" display="https://my.zakupki.prom.ua/remote/dispatcher/state_purchase_view/25893060"/>
    <hyperlink ref="D215" r:id="rId582" display="https://my.zakupki.prom.ua/remote/dispatcher/state_contracting_view/9076832"/>
    <hyperlink ref="B215" r:id="rId583" display="https://my.zakupki.prom.ua/remote/dispatcher/state_purchase_view/26968493"/>
    <hyperlink ref="D214" r:id="rId584" display="https://my.zakupki.prom.ua/remote/dispatcher/state_contracting_view/8179581"/>
    <hyperlink ref="B214" r:id="rId585" display="https://my.zakupki.prom.ua/remote/dispatcher/state_purchase_view/25082572"/>
    <hyperlink ref="D213" r:id="rId586" display="https://my.zakupki.prom.ua/remote/dispatcher/state_contracting_view/8524403"/>
    <hyperlink ref="B213" r:id="rId587" display="https://my.zakupki.prom.ua/remote/dispatcher/state_purchase_view/25813357"/>
    <hyperlink ref="D212" r:id="rId588" display="https://my.zakupki.prom.ua/remote/dispatcher/state_contracting_view/8803866"/>
    <hyperlink ref="B212" r:id="rId589" display="https://my.zakupki.prom.ua/remote/dispatcher/state_purchase_view/26393845"/>
    <hyperlink ref="D211" r:id="rId590" display="https://my.zakupki.prom.ua/remote/dispatcher/state_contracting_view/7942670"/>
    <hyperlink ref="B211" r:id="rId591" display="https://my.zakupki.prom.ua/remote/dispatcher/state_purchase_view/24582336"/>
    <hyperlink ref="D210" r:id="rId592" display="https://my.zakupki.prom.ua/remote/dispatcher/state_contracting_view/7487317"/>
    <hyperlink ref="B210" r:id="rId593" display="https://my.zakupki.prom.ua/remote/dispatcher/state_purchase_view/23611772"/>
    <hyperlink ref="D209" r:id="rId594" display="https://my.zakupki.prom.ua/remote/dispatcher/state_contracting_view/7256017"/>
    <hyperlink ref="B209" r:id="rId595" display="https://my.zakupki.prom.ua/remote/dispatcher/state_purchase_view/23055860"/>
    <hyperlink ref="D208" r:id="rId596" display="https://my.zakupki.prom.ua/remote/dispatcher/state_contracting_view/7259839"/>
    <hyperlink ref="B208" r:id="rId597" display="https://my.zakupki.prom.ua/remote/dispatcher/state_purchase_view/23066394"/>
    <hyperlink ref="D207" r:id="rId598" display="https://my.zakupki.prom.ua/remote/dispatcher/state_contracting_view/11956712"/>
    <hyperlink ref="B207" r:id="rId599" display="https://my.zakupki.prom.ua/remote/dispatcher/state_purchase_view/31529311"/>
    <hyperlink ref="D206" r:id="rId600" display="https://my.zakupki.prom.ua/remote/dispatcher/state_contracting_view/11277650"/>
    <hyperlink ref="B206" r:id="rId601" display="https://my.zakupki.prom.ua/remote/dispatcher/state_purchase_view/31693636"/>
    <hyperlink ref="D205" r:id="rId602" display="https://my.zakupki.prom.ua/remote/dispatcher/state_contracting_view/10786099"/>
    <hyperlink ref="B205" r:id="rId603" display="https://my.zakupki.prom.ua/remote/dispatcher/state_purchase_view/30621645"/>
    <hyperlink ref="D204" r:id="rId604" display="https://my.zakupki.prom.ua/remote/dispatcher/state_contracting_view/11893277"/>
    <hyperlink ref="B204" r:id="rId605" display="https://my.zakupki.prom.ua/remote/dispatcher/state_purchase_view/33019102"/>
    <hyperlink ref="D203" r:id="rId606" display="https://my.zakupki.prom.ua/remote/dispatcher/state_contracting_view/11474741"/>
    <hyperlink ref="B203" r:id="rId607" display="https://my.zakupki.prom.ua/remote/dispatcher/state_purchase_view/32119991"/>
    <hyperlink ref="D202" r:id="rId608" display="https://my.zakupki.prom.ua/remote/dispatcher/state_contracting_view/11035179"/>
    <hyperlink ref="B202" r:id="rId609" display="https://my.zakupki.prom.ua/remote/dispatcher/state_purchase_view/31161468"/>
    <hyperlink ref="D201" r:id="rId610" display="https://my.zakupki.prom.ua/remote/dispatcher/state_contracting_view/12008414"/>
    <hyperlink ref="B201" r:id="rId611" display="https://my.zakupki.prom.ua/remote/dispatcher/state_purchase_view/33258570"/>
    <hyperlink ref="D200" r:id="rId612" display="https://my.zakupki.prom.ua/remote/dispatcher/state_contracting_view/12092699"/>
    <hyperlink ref="B200" r:id="rId613" display="https://my.zakupki.prom.ua/remote/dispatcher/state_purchase_view/33429547"/>
    <hyperlink ref="D199" r:id="rId614" display="https://my.zakupki.prom.ua/remote/dispatcher/state_contracting_view/9512969"/>
    <hyperlink ref="B199" r:id="rId615" display="https://my.zakupki.prom.ua/remote/dispatcher/state_purchase_view/27885590"/>
    <hyperlink ref="D198" r:id="rId616" display="https://my.zakupki.prom.ua/remote/dispatcher/state_contracting_view/8788364"/>
    <hyperlink ref="B198" r:id="rId617" display="https://my.zakupki.prom.ua/remote/dispatcher/state_purchase_view/26362025"/>
    <hyperlink ref="D197" r:id="rId618" display="https://my.zakupki.prom.ua/remote/dispatcher/state_contracting_view/8907354"/>
    <hyperlink ref="B197" r:id="rId619" display="https://my.zakupki.prom.ua/remote/dispatcher/state_purchase_view/26612394"/>
    <hyperlink ref="D196" r:id="rId620" display="https://my.zakupki.prom.ua/remote/dispatcher/state_contracting_view/8560349"/>
    <hyperlink ref="B196" r:id="rId621" display="https://my.zakupki.prom.ua/remote/dispatcher/state_purchase_view/25889386"/>
    <hyperlink ref="D195" r:id="rId622" display="https://my.zakupki.prom.ua/remote/dispatcher/state_contracting_view/9412599"/>
    <hyperlink ref="B195" r:id="rId623" display="https://my.zakupki.prom.ua/remote/dispatcher/state_purchase_view/27677269"/>
    <hyperlink ref="D194" r:id="rId624" display="https://my.zakupki.prom.ua/remote/dispatcher/state_contracting_view/8864111"/>
    <hyperlink ref="B194" r:id="rId625" display="https://my.zakupki.prom.ua/remote/dispatcher/state_purchase_view/26519722"/>
    <hyperlink ref="D193" r:id="rId626" display="https://my.zakupki.prom.ua/remote/dispatcher/state_contracting_view/8247074"/>
    <hyperlink ref="B193" r:id="rId627" display="https://my.zakupki.prom.ua/remote/dispatcher/state_purchase_view/25208628"/>
    <hyperlink ref="D192" r:id="rId628" display="https://my.zakupki.prom.ua/remote/dispatcher/state_contracting_view/7574172"/>
    <hyperlink ref="B192" r:id="rId629" display="https://my.zakupki.prom.ua/remote/dispatcher/state_purchase_view/23805744"/>
    <hyperlink ref="D191" r:id="rId630" display="https://my.zakupki.prom.ua/remote/dispatcher/state_contracting_view/8165678"/>
    <hyperlink ref="B191" r:id="rId631" display="https://my.zakupki.prom.ua/remote/dispatcher/state_purchase_view/25058212"/>
    <hyperlink ref="D190" r:id="rId632" display="https://my.zakupki.prom.ua/remote/dispatcher/state_contracting_view/8171341"/>
    <hyperlink ref="B190" r:id="rId633" display="https://my.zakupki.prom.ua/remote/dispatcher/state_purchase_view/25069076"/>
    <hyperlink ref="D189" r:id="rId634" display="https://my.zakupki.prom.ua/remote/dispatcher/state_contracting_view/8161510"/>
    <hyperlink ref="B189" r:id="rId635" display="https://my.zakupki.prom.ua/remote/dispatcher/state_purchase_view/25042610"/>
    <hyperlink ref="D188" r:id="rId636" display="https://my.zakupki.prom.ua/remote/dispatcher/state_contracting_view/8120395"/>
    <hyperlink ref="B188" r:id="rId637" display="https://my.zakupki.prom.ua/remote/dispatcher/state_purchase_view/24964965"/>
    <hyperlink ref="D187" r:id="rId638" display="https://my.zakupki.prom.ua/remote/dispatcher/state_contracting_view/8120840"/>
    <hyperlink ref="B187" r:id="rId639" display="https://my.zakupki.prom.ua/remote/dispatcher/state_purchase_view/24965905"/>
    <hyperlink ref="D186" r:id="rId640" display="https://my.zakupki.prom.ua/remote/dispatcher/state_contracting_view/8278755"/>
    <hyperlink ref="B186" r:id="rId641" display="https://my.zakupki.prom.ua/remote/dispatcher/state_purchase_view/25256580"/>
    <hyperlink ref="D185" r:id="rId642" display="https://my.zakupki.prom.ua/remote/dispatcher/state_contracting_view/8047667"/>
    <hyperlink ref="B185" r:id="rId643" display="https://my.zakupki.prom.ua/remote/dispatcher/state_purchase_view/24814509"/>
    <hyperlink ref="D184" r:id="rId644" display="https://my.zakupki.prom.ua/remote/dispatcher/state_contracting_view/8051119"/>
    <hyperlink ref="B184" r:id="rId645" display="https://my.zakupki.prom.ua/remote/dispatcher/state_purchase_view/24821781"/>
    <hyperlink ref="D183" r:id="rId646" display="https://my.zakupki.prom.ua/remote/dispatcher/state_contracting_view/7936032"/>
    <hyperlink ref="B183" r:id="rId647" display="https://my.zakupki.prom.ua/remote/dispatcher/state_purchase_view/24571857"/>
    <hyperlink ref="D182" r:id="rId648" display="https://my.zakupki.prom.ua/remote/dispatcher/state_contracting_view/7705336"/>
    <hyperlink ref="B182" r:id="rId649" display="https://my.zakupki.prom.ua/remote/dispatcher/state_purchase_view/24092236"/>
    <hyperlink ref="D181" r:id="rId650" display="https://my.zakupki.prom.ua/remote/dispatcher/state_contracting_view/7600707"/>
    <hyperlink ref="B181" r:id="rId651" display="https://my.zakupki.prom.ua/remote/dispatcher/state_purchase_view/23863349"/>
    <hyperlink ref="D180" r:id="rId652" display="https://my.zakupki.prom.ua/remote/dispatcher/state_contracting_view/8277691"/>
    <hyperlink ref="B180" r:id="rId653" display="https://my.zakupki.prom.ua/remote/dispatcher/state_purchase_view/25255488"/>
    <hyperlink ref="D179" r:id="rId654" display="https://my.zakupki.prom.ua/remote/dispatcher/state_contracting_view/8164545"/>
    <hyperlink ref="B179" r:id="rId655" display="https://my.zakupki.prom.ua/remote/dispatcher/state_purchase_view/25057542"/>
    <hyperlink ref="D178" r:id="rId656" display="https://my.zakupki.prom.ua/remote/dispatcher/state_contracting_view/11773307"/>
    <hyperlink ref="B178" r:id="rId657" display="https://my.zakupki.prom.ua/remote/dispatcher/state_purchase_view/32765312"/>
    <hyperlink ref="D177" r:id="rId658" display="https://my.zakupki.prom.ua/remote/dispatcher/state_contracting_view/12102966"/>
    <hyperlink ref="B177" r:id="rId659" display="https://my.zakupki.prom.ua/remote/dispatcher/state_purchase_view/33450459"/>
    <hyperlink ref="D176" r:id="rId660" display="https://my.zakupki.prom.ua/remote/dispatcher/state_contracting_view/11558863"/>
    <hyperlink ref="B176" r:id="rId661" display="https://my.zakupki.prom.ua/remote/dispatcher/state_purchase_view/32301427"/>
    <hyperlink ref="D175" r:id="rId662" display="https://my.zakupki.prom.ua/remote/dispatcher/state_contracting_view/8122447"/>
    <hyperlink ref="B175" r:id="rId663" display="https://my.zakupki.prom.ua/remote/dispatcher/state_purchase_view/24969696"/>
    <hyperlink ref="D174" r:id="rId664" display="https://my.zakupki.prom.ua/remote/dispatcher/state_contracting_view/11189563"/>
    <hyperlink ref="B174" r:id="rId665" display="https://my.zakupki.prom.ua/remote/dispatcher/state_purchase_view/31498605"/>
    <hyperlink ref="D173" r:id="rId666" display="https://my.zakupki.prom.ua/remote/dispatcher/state_contracting_view/8716675"/>
    <hyperlink ref="B173" r:id="rId667" display="https://my.zakupki.prom.ua/remote/dispatcher/state_purchase_view/26212789"/>
    <hyperlink ref="D172" r:id="rId668" display="https://my.zakupki.prom.ua/remote/dispatcher/state_contracting_view/8562385"/>
    <hyperlink ref="B172" r:id="rId669" display="https://my.zakupki.prom.ua/remote/dispatcher/state_purchase_view/25893625"/>
    <hyperlink ref="D171" r:id="rId670" display="https://my.zakupki.prom.ua/remote/dispatcher/state_contracting_view/8558075"/>
    <hyperlink ref="B171" r:id="rId671" display="https://my.zakupki.prom.ua/remote/dispatcher/state_purchase_view/25884494"/>
    <hyperlink ref="D170" r:id="rId672" display="https://my.zakupki.prom.ua/remote/dispatcher/state_contracting_view/8863673"/>
    <hyperlink ref="B170" r:id="rId673" display="https://my.zakupki.prom.ua/remote/dispatcher/state_purchase_view/26518979"/>
    <hyperlink ref="D169" r:id="rId674" display="https://my.zakupki.prom.ua/remote/dispatcher/state_contracting_view/9911098"/>
    <hyperlink ref="B169" r:id="rId675" display="https://my.zakupki.prom.ua/remote/dispatcher/state_purchase_view/28733035"/>
    <hyperlink ref="D168" r:id="rId676" display="https://my.zakupki.prom.ua/remote/dispatcher/state_contracting_view/12720936"/>
    <hyperlink ref="B168" r:id="rId677" display="https://my.zakupki.prom.ua/remote/dispatcher/state_purchase_view/34820768"/>
    <hyperlink ref="D167" r:id="rId678" display="https://my.zakupki.prom.ua/remote/dispatcher/state_contracting_view/12721049"/>
    <hyperlink ref="B167" r:id="rId679" display="https://my.zakupki.prom.ua/remote/dispatcher/state_purchase_view/34821143"/>
    <hyperlink ref="D166" r:id="rId680" display="https://my.zakupki.prom.ua/remote/dispatcher/state_contracting_view/13217821"/>
    <hyperlink ref="B166" r:id="rId681" display="https://my.zakupki.prom.ua/remote/dispatcher/state_purchase_view/35827198"/>
    <hyperlink ref="D165" r:id="rId682" display="https://my.zakupki.prom.ua/remote/dispatcher/state_contracting_view/13815196"/>
    <hyperlink ref="B165" r:id="rId683" display="https://my.zakupki.prom.ua/remote/dispatcher/state_purchase_view/37033118"/>
    <hyperlink ref="D164" r:id="rId684" display="https://my.zakupki.prom.ua/remote/dispatcher/state_contracting_view/14759681"/>
    <hyperlink ref="B164" r:id="rId685" display="https://my.zakupki.prom.ua/remote/dispatcher/state_purchase_view/38998336"/>
    <hyperlink ref="D163" r:id="rId686" display="https://my.zakupki.prom.ua/remote/dispatcher/state_contracting_view/14313479"/>
    <hyperlink ref="B163" r:id="rId687" display="https://my.zakupki.prom.ua/remote/dispatcher/state_purchase_view/38053591"/>
    <hyperlink ref="D162" r:id="rId688" display="https://my.zakupki.prom.ua/remote/dispatcher/state_contracting_view/14760132"/>
    <hyperlink ref="B162" r:id="rId689" display="https://my.zakupki.prom.ua/remote/dispatcher/state_purchase_view/38999276"/>
    <hyperlink ref="D161" r:id="rId690" display="https://my.zakupki.prom.ua/remote/dispatcher/state_contracting_view/12728497"/>
    <hyperlink ref="B161" r:id="rId691" display="https://my.zakupki.prom.ua/remote/dispatcher/state_purchase_view/34837070"/>
    <hyperlink ref="D160" r:id="rId692" display="https://my.zakupki.prom.ua/remote/dispatcher/state_contracting_view/14487305"/>
    <hyperlink ref="B160" r:id="rId693" display="https://my.zakupki.prom.ua/remote/dispatcher/state_purchase_view/38407034"/>
    <hyperlink ref="D159" r:id="rId694" display="https://my.zakupki.prom.ua/remote/dispatcher/state_contracting_view/14349578"/>
    <hyperlink ref="B159" r:id="rId695" display="https://my.zakupki.prom.ua/remote/dispatcher/state_purchase_view/38122269"/>
    <hyperlink ref="D158" r:id="rId696" display="https://my.zakupki.prom.ua/remote/dispatcher/state_contracting_view/14565467"/>
    <hyperlink ref="B158" r:id="rId697" display="https://my.zakupki.prom.ua/remote/dispatcher/state_purchase_view/38576009"/>
    <hyperlink ref="D157" r:id="rId698" display="https://my.zakupki.prom.ua/remote/dispatcher/state_contracting_view/14566288"/>
    <hyperlink ref="B157" r:id="rId699" display="https://my.zakupki.prom.ua/remote/dispatcher/state_purchase_view/38577334"/>
    <hyperlink ref="D156" r:id="rId700" display="https://my.zakupki.prom.ua/remote/dispatcher/state_contracting_view/14382347"/>
    <hyperlink ref="B156" r:id="rId701" display="https://my.zakupki.prom.ua/remote/dispatcher/state_purchase_view/38186880"/>
    <hyperlink ref="D155" r:id="rId702" display="https://my.zakupki.prom.ua/remote/dispatcher/state_contracting_view/13679880"/>
    <hyperlink ref="B155" r:id="rId703" display="https://my.zakupki.prom.ua/remote/dispatcher/state_purchase_view/36746646"/>
    <hyperlink ref="D154" r:id="rId704" display="https://my.zakupki.prom.ua/remote/dispatcher/state_contracting_view/13461392"/>
    <hyperlink ref="B154" r:id="rId705" display="https://my.zakupki.prom.ua/remote/dispatcher/state_purchase_view/36290083"/>
    <hyperlink ref="D153" r:id="rId706" display="https://my.zakupki.prom.ua/remote/dispatcher/state_contracting_view/13680584"/>
    <hyperlink ref="B153" r:id="rId707" display="https://my.zakupki.prom.ua/remote/dispatcher/state_purchase_view/36748141"/>
    <hyperlink ref="D152" r:id="rId708" display="https://my.zakupki.prom.ua/remote/dispatcher/state_contracting_view/13168783"/>
    <hyperlink ref="B152" r:id="rId709" display="https://my.zakupki.prom.ua/remote/dispatcher/state_purchase_view/35734333"/>
    <hyperlink ref="D151" r:id="rId710" display="https://my.zakupki.prom.ua/remote/dispatcher/state_contracting_view/13375298"/>
    <hyperlink ref="B151" r:id="rId711" display="https://my.zakupki.prom.ua/remote/dispatcher/state_purchase_view/36137647"/>
    <hyperlink ref="D150" r:id="rId712" display="https://my.zakupki.prom.ua/remote/dispatcher/state_contracting_view/13148812"/>
    <hyperlink ref="B150" r:id="rId713" display="https://my.zakupki.prom.ua/remote/dispatcher/state_purchase_view/35696270"/>
    <hyperlink ref="D149" r:id="rId714" display="https://my.zakupki.prom.ua/remote/dispatcher/state_contracting_view/13148811"/>
    <hyperlink ref="B149" r:id="rId715" display="https://my.zakupki.prom.ua/remote/dispatcher/state_purchase_view/35696265"/>
    <hyperlink ref="D148" r:id="rId716" display="https://my.zakupki.prom.ua/remote/dispatcher/state_contracting_view/14026282"/>
    <hyperlink ref="B148" r:id="rId717" display="https://my.zakupki.prom.ua/remote/dispatcher/state_purchase_view/37468977"/>
    <hyperlink ref="D147" r:id="rId718" display="https://my.zakupki.prom.ua/remote/dispatcher/state_contracting_view/14081039"/>
    <hyperlink ref="B147" r:id="rId719" display="https://my.zakupki.prom.ua/remote/dispatcher/state_purchase_view/37581401"/>
    <hyperlink ref="D146" r:id="rId720" display="https://my.zakupki.prom.ua/remote/dispatcher/state_contracting_view/13098423"/>
    <hyperlink ref="B146" r:id="rId721" display="https://my.zakupki.prom.ua/remote/dispatcher/state_purchase_view/35603339"/>
    <hyperlink ref="D145" r:id="rId722" display="https://my.zakupki.prom.ua/remote/dispatcher/state_contracting_view/14566590"/>
    <hyperlink ref="B145" r:id="rId723" display="https://my.zakupki.prom.ua/remote/dispatcher/state_purchase_view/38578304"/>
    <hyperlink ref="D144" r:id="rId724" display="https://my.zakupki.prom.ua/remote/dispatcher/state_contracting_view/14492742"/>
    <hyperlink ref="B144" r:id="rId725" display="https://my.zakupki.prom.ua/remote/dispatcher/state_purchase_view/38417951"/>
    <hyperlink ref="D143" r:id="rId726" display="https://my.zakupki.prom.ua/remote/dispatcher/state_contracting_view/14365848"/>
    <hyperlink ref="B143" r:id="rId727" display="https://my.zakupki.prom.ua/remote/dispatcher/state_purchase_view/38154116"/>
    <hyperlink ref="D142" r:id="rId728" display="https://my.zakupki.prom.ua/remote/dispatcher/state_contracting_view/14120648"/>
    <hyperlink ref="B142" r:id="rId729" display="https://my.zakupki.prom.ua/remote/dispatcher/state_purchase_view/37662416"/>
    <hyperlink ref="D141" r:id="rId730" display="https://my.zakupki.prom.ua/remote/dispatcher/state_contracting_view/14127206"/>
    <hyperlink ref="B141" r:id="rId731" display="https://my.zakupki.prom.ua/remote/dispatcher/state_purchase_view/37674506"/>
    <hyperlink ref="D140" r:id="rId732" display="https://my.zakupki.prom.ua/remote/dispatcher/state_contracting_view/13760255"/>
    <hyperlink ref="B140" r:id="rId733" display="https://my.zakupki.prom.ua/remote/dispatcher/state_purchase_view/36916833"/>
    <hyperlink ref="D139" r:id="rId734" display="https://my.zakupki.prom.ua/remote/dispatcher/state_contracting_view/13805845"/>
    <hyperlink ref="B139" r:id="rId735" display="https://my.zakupki.prom.ua/remote/dispatcher/state_purchase_view/37013682"/>
    <hyperlink ref="D138" r:id="rId736" display="https://my.zakupki.prom.ua/remote/dispatcher/state_contracting_view/13559841"/>
    <hyperlink ref="B138" r:id="rId737" display="https://my.zakupki.prom.ua/remote/dispatcher/state_purchase_view/36493886"/>
    <hyperlink ref="D137" r:id="rId738" display="https://my.zakupki.prom.ua/remote/dispatcher/state_contracting_view/13679088"/>
    <hyperlink ref="B137" r:id="rId739" display="https://my.zakupki.prom.ua/remote/dispatcher/state_purchase_view/36744838"/>
    <hyperlink ref="D136" r:id="rId740" display="https://my.zakupki.prom.ua/remote/dispatcher/state_contracting_view/13643630"/>
    <hyperlink ref="B136" r:id="rId741" display="https://my.zakupki.prom.ua/remote/dispatcher/state_purchase_view/36668537"/>
    <hyperlink ref="D135" r:id="rId742" display="https://my.zakupki.prom.ua/remote/dispatcher/state_contracting_view/14741485"/>
    <hyperlink ref="B135" r:id="rId743" display="https://my.zakupki.prom.ua/remote/dispatcher/state_purchase_view/38958352"/>
    <hyperlink ref="D134" r:id="rId744" display="https://my.zakupki.prom.ua/remote/dispatcher/state_contracting_view/13108969"/>
    <hyperlink ref="B134" r:id="rId745" display="https://my.zakupki.prom.ua/remote/dispatcher/state_purchase_view/35623494"/>
    <hyperlink ref="D133" r:id="rId746" display="https://my.zakupki.prom.ua/remote/dispatcher/state_contracting_view/13194815"/>
    <hyperlink ref="B133" r:id="rId747" display="https://my.zakupki.prom.ua/remote/dispatcher/state_purchase_view/35783445"/>
    <hyperlink ref="D132" r:id="rId748" display="https://my.zakupki.prom.ua/remote/dispatcher/state_contracting_view/12678130"/>
    <hyperlink ref="B132" r:id="rId749" display="https://my.zakupki.prom.ua/remote/dispatcher/state_purchase_view/34106626"/>
    <hyperlink ref="D131" r:id="rId750" display="https://my.zakupki.prom.ua/remote/dispatcher/state_contracting_view/12765334"/>
    <hyperlink ref="B131" r:id="rId751" display="https://my.zakupki.prom.ua/remote/dispatcher/state_purchase_view/34915305"/>
    <hyperlink ref="D130" r:id="rId752" display="https://my.zakupki.prom.ua/remote/dispatcher/state_contracting_view/15046870"/>
    <hyperlink ref="B130" r:id="rId753" display="https://my.zakupki.prom.ua/remote/dispatcher/state_purchase_view/39609998"/>
    <hyperlink ref="D129" r:id="rId754" display="https://my.zakupki.prom.ua/remote/dispatcher/state_contracting_view/13678354"/>
    <hyperlink ref="B129" r:id="rId755" display="https://my.zakupki.prom.ua/remote/dispatcher/state_purchase_view/36742558"/>
    <hyperlink ref="D128" r:id="rId756" display="https://my.zakupki.prom.ua/remote/dispatcher/state_contracting_view/13642955"/>
    <hyperlink ref="B128" r:id="rId757" display="https://my.zakupki.prom.ua/remote/dispatcher/state_purchase_view/36667007"/>
    <hyperlink ref="D127" r:id="rId758" display="https://my.zakupki.prom.ua/remote/dispatcher/state_contracting_view/14387720"/>
    <hyperlink ref="B127" r:id="rId759" display="https://my.zakupki.prom.ua/remote/dispatcher/state_purchase_view/38198326"/>
    <hyperlink ref="D126" r:id="rId760" display="https://my.zakupki.prom.ua/remote/dispatcher/state_contracting_view/14417424"/>
    <hyperlink ref="B126" r:id="rId761" display="https://my.zakupki.prom.ua/remote/dispatcher/state_purchase_view/38259126"/>
    <hyperlink ref="D125" r:id="rId762" display="https://my.zakupki.prom.ua/remote/dispatcher/state_contracting_view/14037924"/>
    <hyperlink ref="B125" r:id="rId763" display="https://my.zakupki.prom.ua/remote/dispatcher/state_purchase_view/37492444"/>
    <hyperlink ref="D124" r:id="rId764" display="https://my.zakupki.prom.ua/remote/dispatcher/state_contracting_view/14555037"/>
    <hyperlink ref="B124" r:id="rId765" display="https://my.zakupki.prom.ua/remote/dispatcher/state_purchase_view/38552993"/>
    <hyperlink ref="D123" r:id="rId766" display="https://my.zakupki.prom.ua/remote/dispatcher/state_contracting_view/14528707"/>
    <hyperlink ref="B123" r:id="rId767" display="https://my.zakupki.prom.ua/remote/dispatcher/state_purchase_view/38495603"/>
    <hyperlink ref="D122" r:id="rId768" display="https://my.zakupki.prom.ua/remote/dispatcher/state_contracting_view/14707340"/>
    <hyperlink ref="B122" r:id="rId769" display="https://my.zakupki.prom.ua/remote/dispatcher/state_purchase_view/38882951"/>
    <hyperlink ref="D121" r:id="rId770" display="https://my.zakupki.prom.ua/remote/dispatcher/state_contracting_view/14704741"/>
    <hyperlink ref="B121" r:id="rId771" display="https://my.zakupki.prom.ua/remote/dispatcher/state_purchase_view/38877583"/>
    <hyperlink ref="D120" r:id="rId772" display="https://my.zakupki.prom.ua/remote/dispatcher/state_contracting_view/14492877"/>
    <hyperlink ref="B120" r:id="rId773" display="https://my.zakupki.prom.ua/remote/dispatcher/state_purchase_view/38418769"/>
    <hyperlink ref="D119" r:id="rId774" display="https://my.zakupki.prom.ua/remote/dispatcher/state_contracting_view/14492803"/>
    <hyperlink ref="B119" r:id="rId775" display="https://my.zakupki.prom.ua/remote/dispatcher/state_purchase_view/38418304"/>
    <hyperlink ref="D118" r:id="rId776" display="https://my.zakupki.prom.ua/remote/dispatcher/state_contracting_view/13590452"/>
    <hyperlink ref="B118" r:id="rId777" display="https://my.zakupki.prom.ua/remote/dispatcher/state_purchase_view/36554989"/>
    <hyperlink ref="D117" r:id="rId778" display="https://my.zakupki.prom.ua/remote/dispatcher/state_contracting_view/13466151"/>
    <hyperlink ref="B117" r:id="rId779" display="https://my.zakupki.prom.ua/remote/dispatcher/state_purchase_view/36310031"/>
    <hyperlink ref="D116" r:id="rId780" display="https://my.zakupki.prom.ua/remote/dispatcher/state_contracting_view/14147038"/>
    <hyperlink ref="B116" r:id="rId781" display="https://my.zakupki.prom.ua/remote/dispatcher/state_purchase_view/37713832"/>
    <hyperlink ref="D115" r:id="rId782" display="https://my.zakupki.prom.ua/remote/dispatcher/state_contracting_view/12655426"/>
    <hyperlink ref="B115" r:id="rId783" display="https://my.zakupki.prom.ua/remote/dispatcher/state_purchase_view/34162254"/>
    <hyperlink ref="D114" r:id="rId784" display="https://my.zakupki.prom.ua/remote/dispatcher/state_contracting_view/12548513"/>
    <hyperlink ref="B114" r:id="rId785" display="https://my.zakupki.prom.ua/remote/dispatcher/state_purchase_view/34449089"/>
    <hyperlink ref="D113" r:id="rId786" display="https://my.zakupki.prom.ua/remote/dispatcher/state_contracting_view/13089040"/>
    <hyperlink ref="B113" r:id="rId787" display="https://my.zakupki.prom.ua/remote/dispatcher/state_purchase_view/35586191"/>
    <hyperlink ref="D112" r:id="rId788" display="https://my.zakupki.prom.ua/remote/dispatcher/state_contracting_view/13194961"/>
    <hyperlink ref="B112" r:id="rId789" display="https://my.zakupki.prom.ua/remote/dispatcher/state_purchase_view/35783780"/>
    <hyperlink ref="D111" r:id="rId790" display="https://my.zakupki.prom.ua/remote/dispatcher/state_contracting_view/13194900"/>
    <hyperlink ref="B111" r:id="rId791" display="https://my.zakupki.prom.ua/remote/dispatcher/state_purchase_view/35783627"/>
    <hyperlink ref="D110" r:id="rId792" display="https://my.zakupki.prom.ua/remote/dispatcher/state_contracting_view/13182499"/>
    <hyperlink ref="B110" r:id="rId793" display="https://my.zakupki.prom.ua/remote/dispatcher/state_purchase_view/35760675"/>
    <hyperlink ref="D109" r:id="rId794" display="https://my.zakupki.prom.ua/remote/dispatcher/state_contracting_view/12834844"/>
    <hyperlink ref="B109" r:id="rId795" display="https://my.zakupki.prom.ua/remote/dispatcher/state_purchase_view/35062579"/>
    <hyperlink ref="D108" r:id="rId796" display="https://my.zakupki.prom.ua/remote/dispatcher/state_contracting_view/12658796"/>
    <hyperlink ref="B108" r:id="rId797" display="https://my.zakupki.prom.ua/remote/dispatcher/state_purchase_view/34134802"/>
    <hyperlink ref="D107" r:id="rId798" display="https://my.zakupki.prom.ua/remote/dispatcher/state_contracting_view/14807363"/>
    <hyperlink ref="B107" r:id="rId799" display="https://my.zakupki.prom.ua/remote/dispatcher/state_purchase_view/39102617"/>
    <hyperlink ref="D106" r:id="rId800" display="https://my.zakupki.prom.ua/remote/dispatcher/state_contracting_view/14388676"/>
    <hyperlink ref="B106" r:id="rId801" display="https://my.zakupki.prom.ua/remote/dispatcher/state_purchase_view/38199752"/>
    <hyperlink ref="D105" r:id="rId802" display="https://my.zakupki.prom.ua/remote/dispatcher/state_contracting_view/14305036"/>
    <hyperlink ref="B105" r:id="rId803" display="https://my.zakupki.prom.ua/remote/dispatcher/state_purchase_view/38037052"/>
    <hyperlink ref="D104" r:id="rId804" display="https://my.zakupki.prom.ua/remote/dispatcher/state_contracting_view/13983779"/>
    <hyperlink ref="B104" r:id="rId805" display="https://my.zakupki.prom.ua/remote/dispatcher/state_purchase_view/37381107"/>
    <hyperlink ref="D103" r:id="rId806" display="https://my.zakupki.prom.ua/remote/dispatcher/state_contracting_view/13467449"/>
    <hyperlink ref="B103" r:id="rId807" display="https://my.zakupki.prom.ua/remote/dispatcher/state_purchase_view/36312325"/>
    <hyperlink ref="D102" r:id="rId808" display="https://my.zakupki.prom.ua/remote/dispatcher/state_contracting_view/13465326"/>
    <hyperlink ref="B102" r:id="rId809" display="https://my.zakupki.prom.ua/remote/dispatcher/state_purchase_view/36307963"/>
    <hyperlink ref="D101" r:id="rId810" display="https://my.zakupki.prom.ua/remote/dispatcher/state_contracting_view/13430888"/>
    <hyperlink ref="B101" r:id="rId811" display="https://my.zakupki.prom.ua/remote/dispatcher/state_purchase_view/36241284"/>
    <hyperlink ref="D100" r:id="rId812" display="https://my.zakupki.prom.ua/remote/dispatcher/state_contracting_view/14705901"/>
    <hyperlink ref="B100" r:id="rId813" display="https://my.zakupki.prom.ua/remote/dispatcher/state_purchase_view/38880747"/>
    <hyperlink ref="D99" r:id="rId814" display="https://my.zakupki.prom.ua/remote/dispatcher/state_contracting_view/13641803"/>
    <hyperlink ref="B99" r:id="rId815" display="https://my.zakupki.prom.ua/remote/dispatcher/state_purchase_view/36664300"/>
    <hyperlink ref="D98" r:id="rId816" display="https://my.zakupki.prom.ua/remote/dispatcher/state_contracting_view/13757827"/>
    <hyperlink ref="B98" r:id="rId817" display="https://my.zakupki.prom.ua/remote/dispatcher/state_purchase_view/36911829"/>
    <hyperlink ref="D97" r:id="rId818" display="https://my.zakupki.prom.ua/remote/dispatcher/state_contracting_view/13641968"/>
    <hyperlink ref="B97" r:id="rId819" display="https://my.zakupki.prom.ua/remote/dispatcher/state_purchase_view/36664997"/>
    <hyperlink ref="D96" r:id="rId820" display="https://my.zakupki.prom.ua/remote/dispatcher/state_contracting_view/13331402"/>
    <hyperlink ref="B96" r:id="rId821" display="https://my.zakupki.prom.ua/remote/dispatcher/state_purchase_view/36045892"/>
    <hyperlink ref="D95" r:id="rId822" display="https://my.zakupki.prom.ua/remote/dispatcher/state_contracting_view/13270433"/>
    <hyperlink ref="B95" r:id="rId823" display="https://my.zakupki.prom.ua/remote/dispatcher/state_purchase_view/35929775"/>
    <hyperlink ref="D94" r:id="rId824" display="https://my.zakupki.prom.ua/remote/dispatcher/state_contracting_view/13148862"/>
    <hyperlink ref="B94" r:id="rId825" display="https://my.zakupki.prom.ua/remote/dispatcher/state_purchase_view/35696410"/>
    <hyperlink ref="D93" r:id="rId826" display="https://my.zakupki.prom.ua/remote/dispatcher/state_contracting_view/12964207"/>
    <hyperlink ref="B93" r:id="rId827" display="https://my.zakupki.prom.ua/remote/dispatcher/state_purchase_view/35335400"/>
    <hyperlink ref="D92" r:id="rId828" display="https://my.zakupki.prom.ua/remote/dispatcher/state_contracting_view/14930376"/>
    <hyperlink ref="B92" r:id="rId829" display="https://my.zakupki.prom.ua/remote/dispatcher/state_purchase_view/39366400"/>
    <hyperlink ref="D91" r:id="rId830" display="https://my.zakupki.prom.ua/remote/dispatcher/state_contracting_view/13806604"/>
    <hyperlink ref="B91" r:id="rId831" display="https://my.zakupki.prom.ua/remote/dispatcher/state_purchase_view/37015092"/>
    <hyperlink ref="D90" r:id="rId832" display="https://my.zakupki.prom.ua/remote/dispatcher/state_contracting_view/13337179"/>
    <hyperlink ref="B90" r:id="rId833" display="https://my.zakupki.prom.ua/remote/dispatcher/state_purchase_view/36057299"/>
    <hyperlink ref="D89" r:id="rId834" display="https://my.zakupki.prom.ua/remote/dispatcher/state_contracting_view/13254530"/>
    <hyperlink ref="B89" r:id="rId835" display="https://my.zakupki.prom.ua/remote/dispatcher/state_purchase_view/35898872"/>
    <hyperlink ref="D88" r:id="rId836" display="https://my.zakupki.prom.ua/remote/dispatcher/state_contracting_view/14064011"/>
    <hyperlink ref="B88" r:id="rId837" display="https://my.zakupki.prom.ua/remote/dispatcher/state_purchase_view/37546601"/>
    <hyperlink ref="D87" r:id="rId838" display="https://my.zakupki.prom.ua/remote/dispatcher/state_contracting_view/12813775"/>
    <hyperlink ref="B87" r:id="rId839" display="https://my.zakupki.prom.ua/remote/dispatcher/state_purchase_view/35018675"/>
    <hyperlink ref="D86" r:id="rId840" display="https://my.zakupki.prom.ua/remote/dispatcher/state_contracting_view/14305750"/>
    <hyperlink ref="B86" r:id="rId841" display="https://my.zakupki.prom.ua/remote/dispatcher/state_purchase_view/38038372"/>
    <hyperlink ref="D85" r:id="rId842" display="https://my.zakupki.prom.ua/remote/dispatcher/state_contracting_view/13194767"/>
    <hyperlink ref="B85" r:id="rId843" display="https://my.zakupki.prom.ua/remote/dispatcher/state_purchase_view/35783530"/>
    <hyperlink ref="D84" r:id="rId844" display="https://my.zakupki.prom.ua/remote/dispatcher/state_contracting_view/14565622"/>
    <hyperlink ref="B84" r:id="rId845" display="https://my.zakupki.prom.ua/remote/dispatcher/state_purchase_view/38576188"/>
    <hyperlink ref="D83" r:id="rId846" display="https://my.zakupki.prom.ua/remote/dispatcher/state_contracting_view/14566042"/>
    <hyperlink ref="B83" r:id="rId847" display="https://my.zakupki.prom.ua/remote/dispatcher/state_purchase_view/38577053"/>
    <hyperlink ref="D82" r:id="rId848" display="https://my.zakupki.prom.ua/remote/dispatcher/state_contracting_view/14116543"/>
    <hyperlink ref="B82" r:id="rId849" display="https://my.zakupki.prom.ua/remote/dispatcher/state_purchase_view/37653512"/>
    <hyperlink ref="D81" r:id="rId850" display="https://my.zakupki.prom.ua/remote/dispatcher/state_contracting_view/14127879"/>
    <hyperlink ref="B81" r:id="rId851" display="https://my.zakupki.prom.ua/remote/dispatcher/state_purchase_view/37675958"/>
    <hyperlink ref="D80" r:id="rId852" display="https://my.zakupki.prom.ua/remote/dispatcher/state_contracting_view/14492123"/>
    <hyperlink ref="B80" r:id="rId853" display="https://my.zakupki.prom.ua/remote/dispatcher/state_purchase_view/38417032"/>
    <hyperlink ref="D79" r:id="rId854" display="https://my.zakupki.prom.ua/remote/dispatcher/state_contracting_view/12730034"/>
    <hyperlink ref="B79" r:id="rId855" display="https://my.zakupki.prom.ua/remote/dispatcher/state_purchase_view/34840191"/>
    <hyperlink ref="D78" r:id="rId856" display="https://my.zakupki.prom.ua/remote/dispatcher/state_contracting_view/14623035"/>
    <hyperlink ref="B78" r:id="rId857" display="https://my.zakupki.prom.ua/remote/dispatcher/state_purchase_view/38700300"/>
    <hyperlink ref="D77" r:id="rId858" display="https://my.zakupki.prom.ua/remote/dispatcher/state_contracting_view/14759363"/>
    <hyperlink ref="B77" r:id="rId859" display="https://my.zakupki.prom.ua/remote/dispatcher/state_purchase_view/38997048"/>
    <hyperlink ref="D76" r:id="rId860" display="https://my.zakupki.prom.ua/remote/dispatcher/state_contracting_view/12549305"/>
    <hyperlink ref="B76" r:id="rId861" display="https://my.zakupki.prom.ua/remote/dispatcher/state_purchase_view/34450166"/>
    <hyperlink ref="D75" r:id="rId862" display="https://my.zakupki.prom.ua/remote/dispatcher/state_contracting_view/13058743"/>
    <hyperlink ref="B75" r:id="rId863" display="https://my.zakupki.prom.ua/remote/dispatcher/state_purchase_view/35064937"/>
    <hyperlink ref="D74" r:id="rId864" display="https://my.zakupki.prom.ua/remote/dispatcher/state_contracting_view/13168964"/>
    <hyperlink ref="B74" r:id="rId865" display="https://my.zakupki.prom.ua/remote/dispatcher/state_purchase_view/35734650"/>
    <hyperlink ref="D73" r:id="rId866" display="https://my.zakupki.prom.ua/remote/dispatcher/state_contracting_view/12644044"/>
    <hyperlink ref="B73" r:id="rId867" display="https://my.zakupki.prom.ua/remote/dispatcher/state_purchase_view/34658330"/>
    <hyperlink ref="D72" r:id="rId868" display="https://my.zakupki.prom.ua/remote/dispatcher/state_contracting_view/12643589"/>
    <hyperlink ref="B72" r:id="rId869" display="https://my.zakupki.prom.ua/remote/dispatcher/state_purchase_view/34651052"/>
    <hyperlink ref="D71" r:id="rId870" display="https://my.zakupki.prom.ua/remote/dispatcher/state_contracting_view/14566095"/>
    <hyperlink ref="B71" r:id="rId871" display="https://my.zakupki.prom.ua/remote/dispatcher/state_purchase_view/38577595"/>
    <hyperlink ref="D70" r:id="rId872" display="https://my.zakupki.prom.ua/remote/dispatcher/state_contracting_view/14365106"/>
    <hyperlink ref="B70" r:id="rId873" display="https://my.zakupki.prom.ua/remote/dispatcher/state_purchase_view/38152923"/>
    <hyperlink ref="D69" r:id="rId874" display="https://my.zakupki.prom.ua/remote/dispatcher/state_contracting_view/14492862"/>
    <hyperlink ref="B69" r:id="rId875" display="https://my.zakupki.prom.ua/remote/dispatcher/state_purchase_view/38418218"/>
    <hyperlink ref="D68" r:id="rId876" display="https://my.zakupki.prom.ua/remote/dispatcher/state_contracting_view/13088848"/>
    <hyperlink ref="B68" r:id="rId877" display="https://my.zakupki.prom.ua/remote/dispatcher/state_purchase_view/35586069"/>
    <hyperlink ref="D67" r:id="rId878" display="https://my.zakupki.prom.ua/remote/dispatcher/state_contracting_view/13806736"/>
    <hyperlink ref="B67" r:id="rId879" display="https://my.zakupki.prom.ua/remote/dispatcher/state_purchase_view/37015412"/>
    <hyperlink ref="D66" r:id="rId880" display="https://my.zakupki.prom.ua/remote/dispatcher/state_contracting_view/13433174"/>
    <hyperlink ref="B66" r:id="rId881" display="https://my.zakupki.prom.ua/remote/dispatcher/state_purchase_view/36245173"/>
    <hyperlink ref="D65" r:id="rId882" display="https://my.zakupki.prom.ua/remote/dispatcher/state_contracting_view/14529037"/>
    <hyperlink ref="B65" r:id="rId883" display="https://my.zakupki.prom.ua/remote/dispatcher/state_purchase_view/38496538"/>
    <hyperlink ref="D64" r:id="rId884" display="https://my.zakupki.prom.ua/remote/dispatcher/state_contracting_view/14611752"/>
    <hyperlink ref="B64" r:id="rId885" display="https://my.zakupki.prom.ua/remote/dispatcher/state_purchase_view/38675480"/>
    <hyperlink ref="D63" r:id="rId886" display="https://my.zakupki.prom.ua/remote/dispatcher/state_contracting_view/13641062"/>
    <hyperlink ref="B63" r:id="rId887" display="https://my.zakupki.prom.ua/remote/dispatcher/state_purchase_view/36662729"/>
    <hyperlink ref="D62" r:id="rId888" display="https://my.zakupki.prom.ua/remote/dispatcher/state_contracting_view/13433891"/>
    <hyperlink ref="B62" r:id="rId889" display="https://my.zakupki.prom.ua/remote/dispatcher/state_purchase_view/36246676"/>
    <hyperlink ref="D61" r:id="rId890" display="https://my.zakupki.prom.ua/remote/dispatcher/state_contracting_view/14848425"/>
    <hyperlink ref="B61" r:id="rId891" display="https://my.zakupki.prom.ua/remote/dispatcher/state_purchase_view/39191317"/>
    <hyperlink ref="D60" r:id="rId892" display="https://my.zakupki.prom.ua/remote/dispatcher/state_contracting_view/14862033"/>
    <hyperlink ref="B60" r:id="rId893" display="https://my.zakupki.prom.ua/remote/dispatcher/state_purchase_view/39220675"/>
    <hyperlink ref="D59" r:id="rId894" display="https://my.zakupki.prom.ua/remote/dispatcher/state_contracting_view/14306006"/>
    <hyperlink ref="B59" r:id="rId895" display="https://my.zakupki.prom.ua/remote/dispatcher/state_purchase_view/38038761"/>
    <hyperlink ref="D58" r:id="rId896" display="https://my.zakupki.prom.ua/remote/dispatcher/state_contracting_view/14233796"/>
    <hyperlink ref="B58" r:id="rId897" display="https://my.zakupki.prom.ua/remote/dispatcher/state_purchase_view/37891625"/>
    <hyperlink ref="D57" r:id="rId898" display="https://my.zakupki.prom.ua/remote/dispatcher/state_contracting_view/13758216"/>
    <hyperlink ref="B57" r:id="rId899" display="https://my.zakupki.prom.ua/remote/dispatcher/state_purchase_view/36912831"/>
    <hyperlink ref="D56" r:id="rId900" display="https://my.zakupki.prom.ua/remote/dispatcher/state_contracting_view/14118763"/>
    <hyperlink ref="B56" r:id="rId901" display="https://my.zakupki.prom.ua/remote/dispatcher/state_purchase_view/37658050"/>
    <hyperlink ref="D55" r:id="rId902" display="https://my.zakupki.prom.ua/remote/dispatcher/state_contracting_view/14124250"/>
    <hyperlink ref="B55" r:id="rId903" display="https://my.zakupki.prom.ua/remote/dispatcher/state_purchase_view/37668878"/>
    <hyperlink ref="D54" r:id="rId904" display="https://my.zakupki.prom.ua/remote/dispatcher/state_contracting_view/13194952"/>
    <hyperlink ref="B54" r:id="rId905" display="https://my.zakupki.prom.ua/remote/dispatcher/state_purchase_view/35783734"/>
    <hyperlink ref="D53" r:id="rId906" display="https://my.zakupki.prom.ua/remote/dispatcher/state_contracting_view/13182501"/>
    <hyperlink ref="B53" r:id="rId907" display="https://my.zakupki.prom.ua/remote/dispatcher/state_purchase_view/35760658"/>
    <hyperlink ref="D52" r:id="rId908" display="https://my.zakupki.prom.ua/remote/dispatcher/state_contracting_view/12751511"/>
    <hyperlink ref="B52" r:id="rId909" display="https://my.zakupki.prom.ua/remote/dispatcher/state_purchase_view/34885275"/>
    <hyperlink ref="D51" r:id="rId910" display="https://my.zakupki.prom.ua/remote/dispatcher/state_contracting_view/14121989"/>
    <hyperlink ref="B51" r:id="rId911" display="https://my.zakupki.prom.ua/remote/dispatcher/state_purchase_view/37664638"/>
    <hyperlink ref="D50" r:id="rId912" display="https://my.zakupki.prom.ua/remote/dispatcher/state_contracting_view/13806221"/>
    <hyperlink ref="B50" r:id="rId913" display="https://my.zakupki.prom.ua/remote/dispatcher/state_purchase_view/37014385"/>
    <hyperlink ref="D49" r:id="rId914" display="https://my.zakupki.prom.ua/remote/dispatcher/state_contracting_view/13678713"/>
    <hyperlink ref="B49" r:id="rId915" display="https://my.zakupki.prom.ua/remote/dispatcher/state_purchase_view/36744042"/>
    <hyperlink ref="D48" r:id="rId916" display="https://my.zakupki.prom.ua/remote/dispatcher/state_contracting_view/14760454"/>
    <hyperlink ref="B48" r:id="rId917" display="https://my.zakupki.prom.ua/remote/dispatcher/state_purchase_view/38999928"/>
    <hyperlink ref="D47" r:id="rId918" display="https://my.zakupki.prom.ua/remote/dispatcher/state_contracting_view/14740325"/>
    <hyperlink ref="B47" r:id="rId919" display="https://my.zakupki.prom.ua/remote/dispatcher/state_purchase_view/38955865"/>
    <hyperlink ref="D46" r:id="rId920" display="https://my.zakupki.prom.ua/remote/dispatcher/state_contracting_view/13182548"/>
    <hyperlink ref="B46" r:id="rId921" display="https://my.zakupki.prom.ua/remote/dispatcher/state_purchase_view/35760770"/>
    <hyperlink ref="D45" r:id="rId922" display="https://my.zakupki.prom.ua/remote/dispatcher/state_contracting_view/13465744"/>
    <hyperlink ref="B45" r:id="rId923" display="https://my.zakupki.prom.ua/remote/dispatcher/state_purchase_view/36309167"/>
    <hyperlink ref="D44" r:id="rId924" display="https://my.zakupki.prom.ua/remote/dispatcher/state_contracting_view/13466956"/>
    <hyperlink ref="B44" r:id="rId925" display="https://my.zakupki.prom.ua/remote/dispatcher/state_purchase_view/36311256"/>
    <hyperlink ref="D43" r:id="rId926" display="https://my.zakupki.prom.ua/remote/dispatcher/state_contracting_view/13465392"/>
    <hyperlink ref="B43" r:id="rId927" display="https://my.zakupki.prom.ua/remote/dispatcher/state_purchase_view/36308424"/>
    <hyperlink ref="D42" r:id="rId928" display="https://my.zakupki.prom.ua/remote/dispatcher/state_contracting_view/12755194"/>
    <hyperlink ref="B42" r:id="rId929" display="https://my.zakupki.prom.ua/remote/dispatcher/state_purchase_view/34188464"/>
    <hyperlink ref="D41" r:id="rId930" display="https://my.zakupki.prom.ua/remote/dispatcher/state_contracting_view/12831815"/>
    <hyperlink ref="B41" r:id="rId931" display="https://my.zakupki.prom.ua/remote/dispatcher/state_purchase_view/35055879"/>
    <hyperlink ref="D40" r:id="rId932" display="https://my.zakupki.prom.ua/remote/dispatcher/state_contracting_view/12726799"/>
    <hyperlink ref="B40" r:id="rId933" display="https://my.zakupki.prom.ua/remote/dispatcher/state_purchase_view/34832326"/>
    <hyperlink ref="D39" r:id="rId934" display="https://my.zakupki.prom.ua/remote/dispatcher/state_contracting_view/12724968"/>
    <hyperlink ref="B39" r:id="rId935" display="https://my.zakupki.prom.ua/remote/dispatcher/state_purchase_view/34829680"/>
    <hyperlink ref="D38" r:id="rId936" display="https://my.zakupki.prom.ua/remote/dispatcher/state_contracting_view/12836919"/>
    <hyperlink ref="B38" r:id="rId937" display="https://my.zakupki.prom.ua/remote/dispatcher/state_purchase_view/35067533"/>
    <hyperlink ref="D37" r:id="rId938" display="https://my.zakupki.prom.ua/remote/dispatcher/state_contracting_view/12834079"/>
    <hyperlink ref="B37" r:id="rId939" display="https://my.zakupki.prom.ua/remote/dispatcher/state_purchase_view/35060438"/>
  </hyperlinks>
  <pageMargins left="0.75" right="0.75" top="1" bottom="1" header="0.5" footer="0.5"/>
  <pageSetup paperSize="9" scale="51" orientation="landscape" r:id="rId9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cp:lastPrinted>2023-08-10T13:04:13Z</cp:lastPrinted>
  <dcterms:created xsi:type="dcterms:W3CDTF">2023-08-10T14:21:05Z</dcterms:created>
  <dcterms:modified xsi:type="dcterms:W3CDTF">2025-01-02T13:41:01Z</dcterms:modified>
  <cp:category/>
</cp:coreProperties>
</file>