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955" windowHeight="10245"/>
  </bookViews>
  <sheets>
    <sheet name="Виконання фінплану" sheetId="37" r:id="rId1"/>
  </sheets>
  <definedNames>
    <definedName name="_xlnm.Print_Area" localSheetId="0">'Виконання фінплану'!$A$1:$BA$337</definedName>
  </definedNames>
  <calcPr calcId="162913" fullPrecision="0"/>
</workbook>
</file>

<file path=xl/calcChain.xml><?xml version="1.0" encoding="utf-8"?>
<calcChain xmlns="http://schemas.openxmlformats.org/spreadsheetml/2006/main">
  <c r="G63" i="37" l="1"/>
  <c r="G62" i="37"/>
  <c r="P22" i="37" l="1"/>
  <c r="P18" i="37"/>
  <c r="P16" i="37"/>
  <c r="P59" i="37" l="1"/>
  <c r="P58" i="37"/>
  <c r="P57" i="37"/>
  <c r="P56" i="37"/>
  <c r="P55" i="37"/>
  <c r="P54" i="37"/>
  <c r="P53" i="37"/>
  <c r="P52" i="37"/>
  <c r="P51" i="37"/>
  <c r="P50" i="37"/>
  <c r="P49" i="37"/>
  <c r="P47" i="37"/>
  <c r="P46" i="37"/>
  <c r="P45" i="37"/>
  <c r="P44" i="37"/>
  <c r="P43" i="37"/>
  <c r="P42" i="37"/>
  <c r="P40" i="37"/>
  <c r="P39" i="37"/>
  <c r="P38" i="37"/>
  <c r="P36" i="37"/>
  <c r="P35" i="37"/>
  <c r="P34" i="37"/>
  <c r="P33" i="37"/>
  <c r="P31" i="37"/>
  <c r="P29" i="37"/>
  <c r="P28" i="37"/>
  <c r="P26" i="37"/>
  <c r="P24" i="37"/>
  <c r="P23" i="37"/>
  <c r="P20" i="37"/>
  <c r="P19" i="37"/>
  <c r="P15" i="37"/>
  <c r="P11" i="37"/>
  <c r="AG120" i="37" l="1"/>
  <c r="AE120" i="37"/>
  <c r="AC120" i="37"/>
  <c r="AA120" i="37"/>
  <c r="Y120" i="37"/>
  <c r="W120" i="37"/>
  <c r="U120" i="37"/>
  <c r="S120" i="37"/>
  <c r="Q120" i="37"/>
  <c r="L120" i="37"/>
  <c r="H120" i="37"/>
  <c r="AG116" i="37"/>
  <c r="AE116" i="37"/>
  <c r="AC116" i="37"/>
  <c r="AA116" i="37"/>
  <c r="Y116" i="37"/>
  <c r="W116" i="37"/>
  <c r="U116" i="37"/>
  <c r="S116" i="37"/>
  <c r="Q116" i="37"/>
  <c r="L116" i="37"/>
  <c r="H116" i="37"/>
  <c r="AG115" i="37"/>
  <c r="AE115" i="37"/>
  <c r="AC115" i="37"/>
  <c r="AA115" i="37"/>
  <c r="Y115" i="37"/>
  <c r="W115" i="37"/>
  <c r="U115" i="37"/>
  <c r="S115" i="37"/>
  <c r="Q115" i="37"/>
  <c r="L115" i="37"/>
  <c r="H115" i="37"/>
  <c r="G66" i="37"/>
  <c r="AG62" i="37"/>
  <c r="AE62" i="37"/>
  <c r="AC62" i="37"/>
  <c r="AA62" i="37"/>
  <c r="Y62" i="37"/>
  <c r="W62" i="37"/>
  <c r="U62" i="37"/>
  <c r="S62" i="37"/>
  <c r="Q62" i="37"/>
  <c r="L62" i="37"/>
  <c r="H62" i="37"/>
  <c r="E62" i="37"/>
  <c r="D62" i="37"/>
  <c r="O60" i="37"/>
  <c r="N60" i="37"/>
  <c r="G60" i="37" s="1"/>
  <c r="O59" i="37"/>
  <c r="N59" i="37"/>
  <c r="K59" i="37"/>
  <c r="O58" i="37"/>
  <c r="N58" i="37"/>
  <c r="O57" i="37"/>
  <c r="N57" i="37"/>
  <c r="K57" i="37"/>
  <c r="K48" i="37" s="1"/>
  <c r="O56" i="37"/>
  <c r="N56" i="37"/>
  <c r="O55" i="37"/>
  <c r="N55" i="37"/>
  <c r="O54" i="37"/>
  <c r="N54" i="37"/>
  <c r="O53" i="37"/>
  <c r="N53" i="37"/>
  <c r="O52" i="37"/>
  <c r="N52" i="37"/>
  <c r="O51" i="37"/>
  <c r="N51" i="37"/>
  <c r="O50" i="37"/>
  <c r="N50" i="37"/>
  <c r="O49" i="37"/>
  <c r="N49" i="37"/>
  <c r="N120" i="37" s="1"/>
  <c r="AH48" i="37"/>
  <c r="AG48" i="37"/>
  <c r="AF48" i="37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M48" i="37"/>
  <c r="L48" i="37"/>
  <c r="J48" i="37"/>
  <c r="I48" i="37"/>
  <c r="H48" i="37"/>
  <c r="G48" i="37"/>
  <c r="F48" i="37"/>
  <c r="E48" i="37"/>
  <c r="D48" i="37"/>
  <c r="O47" i="37"/>
  <c r="N47" i="37"/>
  <c r="O46" i="37"/>
  <c r="N46" i="37"/>
  <c r="N116" i="37" s="1"/>
  <c r="O45" i="37"/>
  <c r="N45" i="37"/>
  <c r="O44" i="37"/>
  <c r="N44" i="37"/>
  <c r="M44" i="37"/>
  <c r="O43" i="37"/>
  <c r="N43" i="37"/>
  <c r="M43" i="37"/>
  <c r="O42" i="37"/>
  <c r="N42" i="37"/>
  <c r="M42" i="37"/>
  <c r="AH41" i="37"/>
  <c r="AG41" i="37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L41" i="37"/>
  <c r="K41" i="37"/>
  <c r="J41" i="37"/>
  <c r="I41" i="37"/>
  <c r="H41" i="37"/>
  <c r="G41" i="37"/>
  <c r="F41" i="37"/>
  <c r="E41" i="37"/>
  <c r="D41" i="37"/>
  <c r="O40" i="37"/>
  <c r="N40" i="37"/>
  <c r="O39" i="37"/>
  <c r="N39" i="37"/>
  <c r="J39" i="37"/>
  <c r="J37" i="37" s="1"/>
  <c r="O38" i="37"/>
  <c r="N38" i="37"/>
  <c r="AH37" i="37"/>
  <c r="AG37" i="37"/>
  <c r="AF37" i="37"/>
  <c r="AE37" i="37"/>
  <c r="AD3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M37" i="37"/>
  <c r="L37" i="37"/>
  <c r="K37" i="37"/>
  <c r="I37" i="37"/>
  <c r="H37" i="37"/>
  <c r="G37" i="37"/>
  <c r="F37" i="37"/>
  <c r="E37" i="37"/>
  <c r="O36" i="37"/>
  <c r="N36" i="37"/>
  <c r="O35" i="37"/>
  <c r="N35" i="37"/>
  <c r="M35" i="37"/>
  <c r="O34" i="37"/>
  <c r="N34" i="37"/>
  <c r="E34" i="37"/>
  <c r="E32" i="37" s="1"/>
  <c r="O33" i="37"/>
  <c r="N33" i="37"/>
  <c r="M33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L32" i="37"/>
  <c r="K32" i="37"/>
  <c r="J32" i="37"/>
  <c r="I32" i="37"/>
  <c r="H32" i="37"/>
  <c r="G32" i="37"/>
  <c r="F32" i="37"/>
  <c r="D32" i="37"/>
  <c r="O31" i="37"/>
  <c r="N31" i="37"/>
  <c r="AG30" i="37"/>
  <c r="AE30" i="37"/>
  <c r="AC30" i="37"/>
  <c r="AA30" i="37"/>
  <c r="Y30" i="37"/>
  <c r="W30" i="37"/>
  <c r="U30" i="37"/>
  <c r="S30" i="37"/>
  <c r="Q30" i="37"/>
  <c r="L30" i="37"/>
  <c r="J30" i="37"/>
  <c r="H30" i="37"/>
  <c r="E30" i="37"/>
  <c r="D30" i="37"/>
  <c r="AG29" i="37"/>
  <c r="AE29" i="37"/>
  <c r="AC29" i="37"/>
  <c r="AA29" i="37"/>
  <c r="Y29" i="37"/>
  <c r="W29" i="37"/>
  <c r="U29" i="37"/>
  <c r="S29" i="37"/>
  <c r="Q29" i="37"/>
  <c r="O29" i="37"/>
  <c r="N29" i="37"/>
  <c r="M29" i="37"/>
  <c r="L29" i="37"/>
  <c r="J29" i="37"/>
  <c r="O28" i="37"/>
  <c r="N28" i="37"/>
  <c r="N115" i="37" s="1"/>
  <c r="N26" i="37"/>
  <c r="O25" i="37"/>
  <c r="O24" i="37"/>
  <c r="N24" i="37"/>
  <c r="O23" i="37"/>
  <c r="N23" i="37"/>
  <c r="O22" i="37"/>
  <c r="N22" i="37"/>
  <c r="O21" i="37"/>
  <c r="O20" i="37"/>
  <c r="N20" i="37"/>
  <c r="J20" i="37" s="1"/>
  <c r="O19" i="37"/>
  <c r="N19" i="37"/>
  <c r="G19" i="37" s="1"/>
  <c r="O18" i="37"/>
  <c r="N18" i="37"/>
  <c r="O17" i="37"/>
  <c r="O16" i="37"/>
  <c r="N16" i="37"/>
  <c r="G13" i="37" s="1"/>
  <c r="G10" i="37" s="1"/>
  <c r="O15" i="37"/>
  <c r="N15" i="37"/>
  <c r="AH13" i="37"/>
  <c r="AH10" i="37" s="1"/>
  <c r="AG13" i="37"/>
  <c r="AG10" i="37" s="1"/>
  <c r="AF13" i="37"/>
  <c r="AF10" i="37" s="1"/>
  <c r="AE13" i="37"/>
  <c r="AE10" i="37" s="1"/>
  <c r="AD13" i="37"/>
  <c r="AD10" i="37" s="1"/>
  <c r="AC13" i="37"/>
  <c r="AC10" i="37" s="1"/>
  <c r="AB13" i="37"/>
  <c r="AB10" i="37" s="1"/>
  <c r="AA13" i="37"/>
  <c r="AA10" i="37" s="1"/>
  <c r="Z13" i="37"/>
  <c r="Z10" i="37" s="1"/>
  <c r="Y13" i="37"/>
  <c r="Y10" i="37" s="1"/>
  <c r="X13" i="37"/>
  <c r="X10" i="37" s="1"/>
  <c r="W13" i="37"/>
  <c r="W10" i="37" s="1"/>
  <c r="V13" i="37"/>
  <c r="V10" i="37" s="1"/>
  <c r="U13" i="37"/>
  <c r="U10" i="37" s="1"/>
  <c r="T13" i="37"/>
  <c r="T10" i="37" s="1"/>
  <c r="S13" i="37"/>
  <c r="S10" i="37" s="1"/>
  <c r="R13" i="37"/>
  <c r="R10" i="37" s="1"/>
  <c r="Q13" i="37"/>
  <c r="Q10" i="37" s="1"/>
  <c r="M13" i="37"/>
  <c r="L13" i="37"/>
  <c r="L10" i="37" s="1"/>
  <c r="K13" i="37"/>
  <c r="K10" i="37" s="1"/>
  <c r="J13" i="37"/>
  <c r="J10" i="37" s="1"/>
  <c r="I13" i="37"/>
  <c r="H13" i="37"/>
  <c r="AG12" i="37"/>
  <c r="AE12" i="37" s="1"/>
  <c r="AC12" i="37" s="1"/>
  <c r="AA12" i="37" s="1"/>
  <c r="Y12" i="37" s="1"/>
  <c r="W12" i="37" s="1"/>
  <c r="U12" i="37" s="1"/>
  <c r="S12" i="37" s="1"/>
  <c r="Q12" i="37" s="1"/>
  <c r="O11" i="37"/>
  <c r="N11" i="37"/>
  <c r="M11" i="37"/>
  <c r="F10" i="37"/>
  <c r="E10" i="37"/>
  <c r="D10" i="37"/>
  <c r="F27" i="37" l="1"/>
  <c r="R27" i="37"/>
  <c r="V27" i="37"/>
  <c r="Z27" i="37"/>
  <c r="Z61" i="37" s="1"/>
  <c r="AD27" i="37"/>
  <c r="AH27" i="37"/>
  <c r="P37" i="37"/>
  <c r="P48" i="37"/>
  <c r="Q119" i="37"/>
  <c r="Q121" i="37" s="1"/>
  <c r="Y119" i="37"/>
  <c r="Y121" i="37" s="1"/>
  <c r="AG119" i="37"/>
  <c r="AG121" i="37" s="1"/>
  <c r="S27" i="37"/>
  <c r="S61" i="37" s="1"/>
  <c r="N13" i="37"/>
  <c r="W27" i="37"/>
  <c r="AE27" i="37"/>
  <c r="O30" i="37"/>
  <c r="P30" i="37"/>
  <c r="P41" i="37"/>
  <c r="U119" i="37"/>
  <c r="U121" i="37" s="1"/>
  <c r="AC119" i="37"/>
  <c r="P13" i="37"/>
  <c r="AA27" i="37"/>
  <c r="AA61" i="37" s="1"/>
  <c r="D27" i="37"/>
  <c r="D61" i="37" s="1"/>
  <c r="P32" i="37"/>
  <c r="L27" i="37"/>
  <c r="F61" i="37"/>
  <c r="K27" i="37"/>
  <c r="K61" i="37" s="1"/>
  <c r="M32" i="37"/>
  <c r="L119" i="37"/>
  <c r="L121" i="37" s="1"/>
  <c r="W119" i="37"/>
  <c r="W121" i="37" s="1"/>
  <c r="AE119" i="37"/>
  <c r="AE121" i="37" s="1"/>
  <c r="M10" i="37"/>
  <c r="U27" i="37"/>
  <c r="U61" i="37" s="1"/>
  <c r="AC27" i="37"/>
  <c r="AC61" i="37" s="1"/>
  <c r="E27" i="37"/>
  <c r="E61" i="37" s="1"/>
  <c r="M41" i="37"/>
  <c r="M27" i="37" s="1"/>
  <c r="G27" i="37"/>
  <c r="G61" i="37" s="1"/>
  <c r="S119" i="37"/>
  <c r="S121" i="37" s="1"/>
  <c r="AA119" i="37"/>
  <c r="AA121" i="37" s="1"/>
  <c r="AC121" i="37"/>
  <c r="W61" i="37"/>
  <c r="AE61" i="37"/>
  <c r="Q27" i="37"/>
  <c r="Q61" i="37" s="1"/>
  <c r="Y27" i="37"/>
  <c r="Y61" i="37" s="1"/>
  <c r="AG27" i="37"/>
  <c r="AG61" i="37" s="1"/>
  <c r="J27" i="37"/>
  <c r="J61" i="37" s="1"/>
  <c r="T27" i="37"/>
  <c r="X27" i="37"/>
  <c r="X61" i="37" s="1"/>
  <c r="AB27" i="37"/>
  <c r="AB61" i="37" s="1"/>
  <c r="AF27" i="37"/>
  <c r="AF61" i="37" s="1"/>
  <c r="I27" i="37"/>
  <c r="O41" i="37"/>
  <c r="N48" i="37"/>
  <c r="O48" i="37"/>
  <c r="N119" i="37"/>
  <c r="N121" i="37" s="1"/>
  <c r="H119" i="37"/>
  <c r="H121" i="37" s="1"/>
  <c r="N41" i="37"/>
  <c r="N37" i="37"/>
  <c r="H27" i="37"/>
  <c r="N32" i="37"/>
  <c r="O13" i="37"/>
  <c r="H10" i="37"/>
  <c r="T61" i="37"/>
  <c r="R61" i="37"/>
  <c r="V61" i="37"/>
  <c r="AD61" i="37"/>
  <c r="AH61" i="37"/>
  <c r="L61" i="37"/>
  <c r="I10" i="37"/>
  <c r="G20" i="37"/>
  <c r="J19" i="37"/>
  <c r="N30" i="37"/>
  <c r="G30" i="37" s="1"/>
  <c r="O32" i="37"/>
  <c r="O37" i="37"/>
  <c r="P10" i="37" l="1"/>
  <c r="P27" i="37"/>
  <c r="M61" i="37"/>
  <c r="H61" i="37"/>
  <c r="O27" i="37"/>
  <c r="N27" i="37"/>
  <c r="I61" i="37"/>
  <c r="O10" i="37"/>
  <c r="N10" i="37"/>
  <c r="O61" i="37" l="1"/>
  <c r="P12" i="37"/>
  <c r="P14" i="37"/>
  <c r="G14" i="37"/>
  <c r="H12" i="37"/>
  <c r="G12" i="37"/>
  <c r="J12" i="37"/>
  <c r="O12" i="37"/>
  <c r="I12" i="37"/>
  <c r="N12" i="37"/>
  <c r="L12" i="37"/>
  <c r="O14" i="37"/>
  <c r="I14" i="37"/>
  <c r="N14" i="37"/>
  <c r="H14" i="37"/>
</calcChain>
</file>

<file path=xl/sharedStrings.xml><?xml version="1.0" encoding="utf-8"?>
<sst xmlns="http://schemas.openxmlformats.org/spreadsheetml/2006/main" count="184" uniqueCount="152">
  <si>
    <t>№ з/п</t>
  </si>
  <si>
    <t>Показники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</si>
  <si>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</si>
  <si>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</si>
  <si>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</si>
  <si>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</si>
  <si>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</si>
  <si>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</si>
  <si>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</si>
  <si>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</si>
  <si>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</si>
  <si>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Доходи, всього, в т.ч.:</t>
  </si>
  <si>
    <t>1.1.</t>
  </si>
  <si>
    <t>1.2.</t>
  </si>
  <si>
    <t>1.3.</t>
  </si>
  <si>
    <t>1.4.</t>
  </si>
  <si>
    <t>Витрати, всього, в т.ч :</t>
  </si>
  <si>
    <t>2.1.</t>
  </si>
  <si>
    <t>Заробітна плата</t>
  </si>
  <si>
    <t>2.2.</t>
  </si>
  <si>
    <t xml:space="preserve">Єдиний внесок </t>
  </si>
  <si>
    <t>2.3.</t>
  </si>
  <si>
    <t>Матеріали в т.ч.:</t>
  </si>
  <si>
    <t>2.3.1.</t>
  </si>
  <si>
    <t>2.4.</t>
  </si>
  <si>
    <t xml:space="preserve">Амортизація </t>
  </si>
  <si>
    <t>2.4.1.</t>
  </si>
  <si>
    <t>безоплатно отриманих основних засобів</t>
  </si>
  <si>
    <t>2.4.2.</t>
  </si>
  <si>
    <t>власних основних засобів</t>
  </si>
  <si>
    <t>2.5.</t>
  </si>
  <si>
    <t xml:space="preserve">Комунальні послуги </t>
  </si>
  <si>
    <t>2.5.1.</t>
  </si>
  <si>
    <t xml:space="preserve">електроенергія </t>
  </si>
  <si>
    <t>2.5.2.</t>
  </si>
  <si>
    <t>тепло-водопостачання та водовідведення</t>
  </si>
  <si>
    <t>вивіз та складування ТПВ</t>
  </si>
  <si>
    <t>2.6.</t>
  </si>
  <si>
    <t>2.7.</t>
  </si>
  <si>
    <t xml:space="preserve">Послуги сторонніх організацій </t>
  </si>
  <si>
    <t>комісія банку</t>
  </si>
  <si>
    <t xml:space="preserve">Інші послуги сторонніх організацій </t>
  </si>
  <si>
    <t>2.8.</t>
  </si>
  <si>
    <t>2.9.</t>
  </si>
  <si>
    <t>тис.грн.</t>
  </si>
  <si>
    <t>3</t>
  </si>
  <si>
    <t>4.1</t>
  </si>
  <si>
    <t>4.2</t>
  </si>
  <si>
    <t>4.3</t>
  </si>
  <si>
    <t>доходи від оренди</t>
  </si>
  <si>
    <t>Покупні ресурси/товари в т.ч.:</t>
  </si>
  <si>
    <t>медобладнання</t>
  </si>
  <si>
    <t>2.4.3.</t>
  </si>
  <si>
    <t>Послуги зв’язку  та інтернету</t>
  </si>
  <si>
    <t>послуги пожежного спостереження</t>
  </si>
  <si>
    <t xml:space="preserve">охоронні послуги </t>
  </si>
  <si>
    <t>Витрати на відрядження</t>
  </si>
  <si>
    <t>Витрати на  навчання</t>
  </si>
  <si>
    <t>2.10.</t>
  </si>
  <si>
    <t>2.11.</t>
  </si>
  <si>
    <t>2.12.</t>
  </si>
  <si>
    <t>обслуговування програмного забезпечення</t>
  </si>
  <si>
    <t xml:space="preserve">Поточний ремонт </t>
  </si>
  <si>
    <t>1.5.</t>
  </si>
  <si>
    <t>Амортизація по безоплатно отриманим основним засобам</t>
  </si>
  <si>
    <t>від медичних послуг, отримані від НСЗУ</t>
  </si>
  <si>
    <t>послуги з техогляду та ремонту ліфтів</t>
  </si>
  <si>
    <t>заправка картріджей, обслуговування комп.техніки</t>
  </si>
  <si>
    <t>від місцевого бюджету на компенсацію видатків на програмне забезпечення</t>
  </si>
  <si>
    <t>канцтовари, бланкова продукція, папір</t>
  </si>
  <si>
    <t>2.5.3.</t>
  </si>
  <si>
    <t>МНМА</t>
  </si>
  <si>
    <t>послуги з лабораторних досліджень</t>
  </si>
  <si>
    <t>транспортні послуги</t>
  </si>
  <si>
    <t>кондиціонери</t>
  </si>
  <si>
    <t>Відсотки банку за поточними депозитами</t>
  </si>
  <si>
    <t>Фінансовий результат</t>
  </si>
  <si>
    <t>4.4</t>
  </si>
  <si>
    <t>від місцевого бюджету (спецфонд)</t>
  </si>
  <si>
    <t>Придбання основних засобів (довідково), в т.ч.:</t>
  </si>
  <si>
    <t>меблі та інше обладнання</t>
  </si>
  <si>
    <t>комп'ютерна та оргтехніка</t>
  </si>
  <si>
    <t>план</t>
  </si>
  <si>
    <t>факт</t>
  </si>
  <si>
    <t xml:space="preserve"> 2019 рік</t>
  </si>
  <si>
    <t>Звітний період з початку року</t>
  </si>
  <si>
    <t>тис. грн.</t>
  </si>
  <si>
    <t>1.6.</t>
  </si>
  <si>
    <t xml:space="preserve">                                                                                                                                                                                         </t>
  </si>
  <si>
    <t>1.1.1.</t>
  </si>
  <si>
    <t>в т.ч. оплата роботи моб. бригад</t>
  </si>
  <si>
    <t>пальне,запчастини, мастильні матеріали</t>
  </si>
  <si>
    <t>доходи від цільового фінансування, всього</t>
  </si>
  <si>
    <t>1.2.1.</t>
  </si>
  <si>
    <t xml:space="preserve">на компенсацію видатків на комунальні послуги, енергоносії </t>
  </si>
  <si>
    <t>1.2.2.</t>
  </si>
  <si>
    <t>1.2.3.</t>
  </si>
  <si>
    <t>матеріали на ремонт та господарчі товари</t>
  </si>
  <si>
    <t>План на  2022 рік</t>
  </si>
  <si>
    <t>1.2.4.</t>
  </si>
  <si>
    <t>Доходи від оренди</t>
  </si>
  <si>
    <t>2.3.2.</t>
  </si>
  <si>
    <t>2.3.3.</t>
  </si>
  <si>
    <t>2.3.4.</t>
  </si>
  <si>
    <t>2.9.1.</t>
  </si>
  <si>
    <t>2.9.2.</t>
  </si>
  <si>
    <t>2.9.3.</t>
  </si>
  <si>
    <t>2.9.4.</t>
  </si>
  <si>
    <t>2.9.5.</t>
  </si>
  <si>
    <t>2.9.6.</t>
  </si>
  <si>
    <t>2.9.7.</t>
  </si>
  <si>
    <t>2.9.8.</t>
  </si>
  <si>
    <t>2.9.9.</t>
  </si>
  <si>
    <t xml:space="preserve">Інші витрати, в т.ч. за кошти місцевого бюджету </t>
  </si>
  <si>
    <t>з місцевого бюджету  на послуги крім комунальних</t>
  </si>
  <si>
    <t>з місцевого бюджету за місцевими програмами</t>
  </si>
  <si>
    <t>з місцевого бюджету за місцевими            програмами</t>
  </si>
  <si>
    <t>%</t>
  </si>
  <si>
    <t xml:space="preserve">  +, - тис.грн.</t>
  </si>
  <si>
    <t xml:space="preserve">відшкодування витрат на зарплату лікаря                    від КЗ "ТЦСО" </t>
  </si>
  <si>
    <t>1.7.</t>
  </si>
  <si>
    <t xml:space="preserve">з місцевого бюджету: матеріали, інструменти, медикаменти, в т.ч. запаси </t>
  </si>
  <si>
    <t xml:space="preserve">Недовиконання  - кошти на страхування не використані у повному обсязі. 18,1 тис. грн. - сплата ВУЗу за навчальні послуги студента;                                                        6,9 тис. грн. - страхування працівників НКП. Взагалі на 2022 рік фактична вартість страхування від COVID-19  значно знизилась у порівнянні з плановою. До того ж в грудні планувалось сплатити за стрхування 30-ти працівників 14,7 тис. грн.. Однак Казначейство не встигло провести ці платежі, хоча документи до сплати були готові 20.12.2022 </t>
  </si>
  <si>
    <t>Причина недовиконання показників  за програмою "Інші програми та заходи у сфері охорони здоров'я" - значне зниження кількості дітей до 2-х років з малозабезпечених родин (за місцем реєстрації), батькі яких звернулись до НКП щодо отримання харчування (можливо - виїзд за межи області, країни). Показники за іншими МКП виконані.</t>
  </si>
  <si>
    <t>25 233,57- осн.пакет 1 174,87 -вакцинація, 52,26 -пакет туберкульоз</t>
  </si>
  <si>
    <t>Результат економії енергоресурсів, зменшення вартості 1 Кв електр. на деякий період воєн.стану, часткова сплата коштами орендарів (349 тис.грн.)</t>
  </si>
  <si>
    <t xml:space="preserve">Використання ЗІЗів - 314,8 , деззасоби - 31,5, вироби мед. (у т.ч. швидки тести) 328,5 , лік. засоби 7,7,  імунобіолог. - 5,7 </t>
  </si>
  <si>
    <t>Благодійна допомога у натуральному вигляді та централізовані поставки обласної бази</t>
  </si>
  <si>
    <t xml:space="preserve">Вакцини, в т.ч. від COVID-19 -1 676,8, лікарськи засоби  - 284,8, маски та рукавички - 216,0, медвироби  (швидкі тести, шприці, розчини для ін'єкцій, шпателі, сервети)- 125,1 </t>
  </si>
  <si>
    <t>Збільшення витрат орендарями енергоресурсів у зв'язку з специфікою техн.процесу</t>
  </si>
  <si>
    <t>Відвідування ТЦСО "Турбота"з відшкодуванням витрат лікаря, що надає мед.послуги,  не планувалось у звязку з карантином та воєнним станом</t>
  </si>
  <si>
    <t>У частини основних засобів переданих від ОТГ закінчився термін використання</t>
  </si>
  <si>
    <t>Відсоткова ставка на залишки коштів на поточному рах. менше, ніж планувалась</t>
  </si>
  <si>
    <t>матеріали, інструменти, медикаменти, в т.ч. запаси</t>
  </si>
  <si>
    <t>Економія коштів на автозапчастини</t>
  </si>
  <si>
    <t>Здійснення поточних ремонтів власними силами</t>
  </si>
  <si>
    <t>Збільшення вартості паперу та бланкової продукції</t>
  </si>
  <si>
    <t>Частина медобладнання придбана наприкінці грудня 2022. Амортизація за ним нараховуватимется з січня 2023</t>
  </si>
  <si>
    <t>У частини основних засобів закінчився термін використання</t>
  </si>
  <si>
    <t>Нараховано меншу суму на з/п, ніж заплановано: у частини працівників ЄСВ - 8% замість 22%</t>
  </si>
  <si>
    <t>Зменшення витрат на моб.зв'язок</t>
  </si>
  <si>
    <r>
      <rPr>
        <u/>
        <sz val="14"/>
        <color indexed="8"/>
        <rFont val="Times New Roman"/>
        <family val="1"/>
        <charset val="204"/>
      </rPr>
      <t>Від обласної центр. бази</t>
    </r>
    <r>
      <rPr>
        <sz val="14"/>
        <color indexed="8"/>
        <rFont val="Times New Roman"/>
        <family val="1"/>
        <charset val="204"/>
      </rPr>
      <t xml:space="preserve"> медикаментів. </t>
    </r>
    <r>
      <rPr>
        <b/>
        <sz val="14"/>
        <color indexed="8"/>
        <rFont val="Times New Roman"/>
        <family val="1"/>
        <charset val="204"/>
      </rPr>
      <t>(1677,8)</t>
    </r>
    <r>
      <rPr>
        <sz val="14"/>
        <color indexed="8"/>
        <rFont val="Times New Roman"/>
        <family val="1"/>
        <charset val="204"/>
      </rPr>
      <t xml:space="preserve">, списання матеріалів для вакцинації  -імунобіологічні мат. 1 342,3 тис. грн., 318,0 - лікар.засоби та деззасоби та ЗІЗ - 17,5 тис. грн..                                                                                              </t>
    </r>
    <r>
      <rPr>
        <u/>
        <sz val="14"/>
        <color indexed="8"/>
        <rFont val="Times New Roman"/>
        <family val="1"/>
        <charset val="204"/>
      </rPr>
      <t>Благодійна допомога</t>
    </r>
    <r>
      <rPr>
        <sz val="14"/>
        <color indexed="8"/>
        <rFont val="Times New Roman"/>
        <family val="1"/>
        <charset val="204"/>
      </rPr>
      <t xml:space="preserve"> -лікарські преапарати (</t>
    </r>
    <r>
      <rPr>
        <b/>
        <sz val="14"/>
        <color indexed="8"/>
        <rFont val="Times New Roman"/>
        <family val="1"/>
        <charset val="204"/>
      </rPr>
      <t>638,8</t>
    </r>
    <r>
      <rPr>
        <sz val="14"/>
        <color indexed="8"/>
        <rFont val="Times New Roman"/>
        <family val="1"/>
        <charset val="204"/>
      </rPr>
      <t xml:space="preserve"> тис. грн.), у т.ч. 334,5 - вакцина, 211,1 - ЗІЗ, 91,8 тис. грн. лікарськи зас., вироби мед.                                                                                                                </t>
    </r>
    <r>
      <rPr>
        <u/>
        <sz val="14"/>
        <color indexed="8"/>
        <rFont val="Times New Roman"/>
        <family val="1"/>
        <charset val="204"/>
      </rPr>
      <t>Власні кошти (</t>
    </r>
    <r>
      <rPr>
        <b/>
        <u/>
        <sz val="14"/>
        <color indexed="8"/>
        <rFont val="Times New Roman"/>
        <family val="1"/>
        <charset val="204"/>
      </rPr>
      <t xml:space="preserve">309,1 </t>
    </r>
    <r>
      <rPr>
        <u/>
        <sz val="14"/>
        <color indexed="8"/>
        <rFont val="Times New Roman"/>
        <family val="1"/>
        <charset val="204"/>
      </rPr>
      <t xml:space="preserve">тис. грн) </t>
    </r>
    <r>
      <rPr>
        <sz val="14"/>
        <color indexed="8"/>
        <rFont val="Times New Roman"/>
        <family val="1"/>
        <charset val="204"/>
      </rPr>
      <t xml:space="preserve">-витрачені хім. реакт. для лаб. досліджень 165,6 тис. грн. та лікарски вироби - 53,6 тию. грн., деззасоби - 30,0 тис.грн., ЗІЗ - 60,0 тис,грн.;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  </t>
    </r>
    <r>
      <rPr>
        <sz val="14"/>
        <color indexed="8"/>
        <rFont val="Times New Roman"/>
        <family val="1"/>
        <charset val="204"/>
      </rPr>
      <t xml:space="preserve">  </t>
    </r>
    <r>
      <rPr>
        <u/>
        <sz val="14"/>
        <color indexed="8"/>
        <rFont val="Times New Roman"/>
        <family val="1"/>
        <charset val="204"/>
      </rPr>
      <t>МБ</t>
    </r>
    <r>
      <rPr>
        <b/>
        <u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 (409,4)</t>
    </r>
    <r>
      <rPr>
        <sz val="14"/>
        <color indexed="8"/>
        <rFont val="Times New Roman"/>
        <family val="1"/>
        <charset val="204"/>
      </rPr>
      <t xml:space="preserve">, в т.ч. ЗІЗ 136,5 тис. грн., мед.вироб. 227,9 тис. грн.               </t>
    </r>
  </si>
  <si>
    <t>Навчання онлайн за необхідністю, відрядження - тільки за отрманням медпрепаратів, в.т.ч. вакцини.</t>
  </si>
  <si>
    <t>Економія ресурсів</t>
  </si>
  <si>
    <t>Припинили користуватись зовнішніми послугами</t>
  </si>
  <si>
    <t>Ці витрати відсутні взагалі з березня 2022</t>
  </si>
  <si>
    <t>Позапланові ремонтні роботи</t>
  </si>
  <si>
    <t>Невикористані кошти МБ для страхування персоналу від COVID-19 - непроведення платежу  з рахунку в Казнечействі наприкінці грудня 2022</t>
  </si>
  <si>
    <t>333,03 т.грн. - виплата за ріш.суду; понадпланові суми лікарняних за рах.ПП+ЄСВ на всі види лікарняних -70,87 тис.грн</t>
  </si>
  <si>
    <t>в рази</t>
  </si>
  <si>
    <t>виконання планових показників</t>
  </si>
  <si>
    <t xml:space="preserve">   Звіт про виконання фінплану по   НКП "ЮУ МЦПМСД" за 12 місяців 2022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</si>
</sst>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top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justify" vertical="top" wrapText="1"/>
      <protection hidden="1"/>
    </xf>
    <xf numFmtId="164" fontId="7" fillId="0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Font="1" applyFill="1" applyBorder="1" applyAlignment="1" applyProtection="1">
      <alignment horizontal="justify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16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164" fontId="9" fillId="0" borderId="4" xfId="0" applyNumberFormat="1" applyFont="1" applyFill="1" applyBorder="1" applyAlignment="1" applyProtection="1">
      <alignment horizontal="right" vertical="center"/>
      <protection hidden="1"/>
    </xf>
    <xf numFmtId="164" fontId="1" fillId="3" borderId="4" xfId="0" applyNumberFormat="1" applyFont="1" applyFill="1" applyBorder="1" applyAlignment="1" applyProtection="1">
      <alignment horizontal="right" vertical="center"/>
      <protection hidden="1"/>
    </xf>
    <xf numFmtId="164" fontId="7" fillId="0" borderId="4" xfId="0" applyNumberFormat="1" applyFont="1" applyFill="1" applyBorder="1" applyAlignment="1" applyProtection="1">
      <alignment vertical="center"/>
      <protection hidden="1"/>
    </xf>
    <xf numFmtId="16" fontId="7" fillId="0" borderId="4" xfId="0" applyNumberFormat="1" applyFont="1" applyFill="1" applyBorder="1" applyAlignment="1" applyProtection="1">
      <alignment vertical="top" wrapText="1"/>
      <protection hidden="1"/>
    </xf>
    <xf numFmtId="164" fontId="1" fillId="0" borderId="4" xfId="0" applyNumberFormat="1" applyFont="1" applyFill="1" applyBorder="1" applyAlignment="1" applyProtection="1">
      <alignment vertical="center" wrapText="1"/>
      <protection hidden="1"/>
    </xf>
    <xf numFmtId="164" fontId="1" fillId="0" borderId="4" xfId="0" applyNumberFormat="1" applyFont="1" applyFill="1" applyBorder="1" applyAlignment="1" applyProtection="1">
      <alignment vertical="center"/>
      <protection hidden="1"/>
    </xf>
    <xf numFmtId="16" fontId="1" fillId="0" borderId="4" xfId="0" applyNumberFormat="1" applyFont="1" applyFill="1" applyBorder="1" applyAlignment="1" applyProtection="1">
      <alignment vertical="top" wrapText="1"/>
      <protection hidden="1"/>
    </xf>
    <xf numFmtId="16" fontId="7" fillId="0" borderId="4" xfId="0" applyNumberFormat="1" applyFont="1" applyFill="1" applyBorder="1" applyAlignment="1" applyProtection="1">
      <alignment horizontal="justify" vertical="top" wrapText="1"/>
      <protection hidden="1"/>
    </xf>
    <xf numFmtId="164" fontId="7" fillId="0" borderId="4" xfId="0" applyNumberFormat="1" applyFont="1" applyFill="1" applyBorder="1" applyAlignment="1" applyProtection="1">
      <alignment vertical="center" wrapText="1"/>
      <protection hidden="1"/>
    </xf>
    <xf numFmtId="16" fontId="1" fillId="0" borderId="4" xfId="0" applyNumberFormat="1" applyFont="1" applyFill="1" applyBorder="1" applyAlignment="1" applyProtection="1">
      <alignment horizontal="justify" vertical="top" wrapText="1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14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9" fontId="7" fillId="0" borderId="4" xfId="0" applyNumberFormat="1" applyFont="1" applyFill="1" applyBorder="1" applyAlignment="1" applyProtection="1">
      <alignment horizontal="justify" vertical="top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164" fontId="1" fillId="0" borderId="4" xfId="0" applyNumberFormat="1" applyFont="1" applyFill="1" applyBorder="1" applyAlignment="1" applyProtection="1">
      <alignment horizontal="right" wrapText="1"/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Border="1" applyAlignment="1" applyProtection="1">
      <alignment horizontal="right" wrapText="1"/>
      <protection hidden="1"/>
    </xf>
    <xf numFmtId="164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4" xfId="0" applyNumberFormat="1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Protection="1">
      <protection hidden="1"/>
    </xf>
    <xf numFmtId="164" fontId="0" fillId="0" borderId="0" xfId="0" applyNumberFormat="1" applyFont="1" applyFill="1" applyProtection="1">
      <protection hidden="1"/>
    </xf>
    <xf numFmtId="16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wrapText="1"/>
      <protection hidden="1"/>
    </xf>
    <xf numFmtId="0" fontId="9" fillId="0" borderId="4" xfId="0" applyFont="1" applyFill="1" applyBorder="1" applyAlignment="1" applyProtection="1">
      <alignment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0" fontId="6" fillId="0" borderId="0" xfId="0" applyFont="1" applyFill="1" applyProtection="1">
      <protection hidden="1"/>
    </xf>
    <xf numFmtId="0" fontId="13" fillId="0" borderId="4" xfId="0" applyFont="1" applyFill="1" applyBorder="1" applyAlignment="1" applyProtection="1">
      <alignment wrapText="1"/>
      <protection hidden="1"/>
    </xf>
    <xf numFmtId="0" fontId="8" fillId="0" borderId="0" xfId="0" applyFont="1" applyFill="1" applyProtection="1">
      <protection hidden="1"/>
    </xf>
    <xf numFmtId="0" fontId="10" fillId="0" borderId="4" xfId="0" applyFont="1" applyFill="1" applyBorder="1" applyAlignment="1" applyProtection="1">
      <alignment wrapText="1"/>
      <protection hidden="1"/>
    </xf>
    <xf numFmtId="2" fontId="13" fillId="0" borderId="4" xfId="0" applyNumberFormat="1" applyFont="1" applyFill="1" applyBorder="1" applyAlignment="1" applyProtection="1">
      <alignment wrapText="1"/>
      <protection hidden="1"/>
    </xf>
    <xf numFmtId="0" fontId="1" fillId="0" borderId="4" xfId="0" applyFont="1" applyFill="1" applyBorder="1" applyProtection="1">
      <protection hidden="1"/>
    </xf>
    <xf numFmtId="0" fontId="1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2" fontId="0" fillId="0" borderId="0" xfId="0" applyNumberFormat="1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top"/>
      <protection hidden="1"/>
    </xf>
    <xf numFmtId="0" fontId="1" fillId="0" borderId="5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10" fillId="0" borderId="6" xfId="0" applyFont="1" applyFill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Font="1" applyFill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37"/>
  <sheetViews>
    <sheetView tabSelected="1" view="pageBreakPreview" topLeftCell="A16" zoomScale="75" zoomScaleNormal="75" zoomScaleSheetLayoutView="75" workbookViewId="0">
      <selection activeCell="AQ32" sqref="AQ32"/>
    </sheetView>
  </sheetViews>
  <sheetFormatPr defaultColWidth="9" defaultRowHeight="18.75" x14ac:dyDescent="0.3"/>
  <cols>
    <col min="1" max="1" width="4.42578125" style="1" customWidth="1"/>
    <col min="2" max="2" width="8.85546875" style="1" customWidth="1"/>
    <col min="3" max="3" width="56.140625" style="1" customWidth="1"/>
    <col min="4" max="4" width="10.42578125" style="1" hidden="1" customWidth="1"/>
    <col min="5" max="5" width="9" style="1" hidden="1" customWidth="1"/>
    <col min="6" max="6" width="10.85546875" style="1" hidden="1" customWidth="1"/>
    <col min="7" max="7" width="13.140625" style="1" customWidth="1"/>
    <col min="8" max="8" width="11.28515625" style="1" customWidth="1"/>
    <col min="9" max="9" width="11.42578125" style="1" customWidth="1"/>
    <col min="10" max="10" width="11.42578125" style="1" hidden="1" customWidth="1"/>
    <col min="11" max="11" width="11.5703125" style="1" hidden="1" customWidth="1"/>
    <col min="12" max="12" width="11.7109375" style="1" hidden="1" customWidth="1"/>
    <col min="13" max="13" width="10.7109375" style="1" hidden="1" customWidth="1"/>
    <col min="14" max="14" width="12.85546875" style="1" customWidth="1"/>
    <col min="15" max="15" width="13.140625" style="1" customWidth="1"/>
    <col min="16" max="16" width="11.42578125" style="1" customWidth="1"/>
    <col min="17" max="17" width="11" style="1" hidden="1" customWidth="1"/>
    <col min="18" max="18" width="9.42578125" style="1" hidden="1" customWidth="1"/>
    <col min="19" max="19" width="11" style="1" hidden="1" customWidth="1"/>
    <col min="20" max="20" width="10" style="1" hidden="1" customWidth="1"/>
    <col min="21" max="21" width="11.7109375" style="1" hidden="1" customWidth="1"/>
    <col min="22" max="22" width="10" style="45" hidden="1" customWidth="1"/>
    <col min="23" max="23" width="10.7109375" style="1" hidden="1" customWidth="1"/>
    <col min="24" max="24" width="9.7109375" style="1" hidden="1" customWidth="1"/>
    <col min="25" max="25" width="11.7109375" style="1" hidden="1" customWidth="1"/>
    <col min="26" max="26" width="10" style="1" hidden="1" customWidth="1"/>
    <col min="27" max="27" width="12" style="1" hidden="1" customWidth="1"/>
    <col min="28" max="28" width="9.7109375" style="1" hidden="1" customWidth="1"/>
    <col min="29" max="29" width="10.7109375" style="1" hidden="1" customWidth="1"/>
    <col min="30" max="30" width="10.28515625" style="1" hidden="1" customWidth="1"/>
    <col min="31" max="31" width="11.28515625" style="1" hidden="1" customWidth="1"/>
    <col min="32" max="32" width="9.5703125" style="1" hidden="1" customWidth="1"/>
    <col min="33" max="33" width="12.85546875" style="1" hidden="1" customWidth="1"/>
    <col min="34" max="34" width="17.7109375" style="1" hidden="1" customWidth="1"/>
    <col min="35" max="35" width="74.5703125" style="1" hidden="1" customWidth="1"/>
    <col min="36" max="41" width="9" style="1" hidden="1" customWidth="1"/>
    <col min="42" max="50" width="9" style="1" customWidth="1"/>
    <col min="51" max="270" width="9" style="1"/>
    <col min="271" max="271" width="8" style="1" customWidth="1"/>
    <col min="272" max="272" width="43.42578125" style="1" customWidth="1"/>
    <col min="273" max="273" width="8.42578125" style="1" customWidth="1"/>
    <col min="274" max="274" width="8.28515625" style="1" customWidth="1"/>
    <col min="275" max="275" width="10.7109375" style="1" customWidth="1"/>
    <col min="276" max="287" width="10.5703125" style="1" customWidth="1"/>
    <col min="288" max="526" width="9" style="1"/>
    <col min="527" max="527" width="8" style="1" customWidth="1"/>
    <col min="528" max="528" width="43.42578125" style="1" customWidth="1"/>
    <col min="529" max="529" width="8.42578125" style="1" customWidth="1"/>
    <col min="530" max="530" width="8.28515625" style="1" customWidth="1"/>
    <col min="531" max="531" width="10.7109375" style="1" customWidth="1"/>
    <col min="532" max="543" width="10.5703125" style="1" customWidth="1"/>
    <col min="544" max="782" width="9" style="1"/>
    <col min="783" max="783" width="8" style="1" customWidth="1"/>
    <col min="784" max="784" width="43.42578125" style="1" customWidth="1"/>
    <col min="785" max="785" width="8.42578125" style="1" customWidth="1"/>
    <col min="786" max="786" width="8.28515625" style="1" customWidth="1"/>
    <col min="787" max="787" width="10.7109375" style="1" customWidth="1"/>
    <col min="788" max="799" width="10.5703125" style="1" customWidth="1"/>
    <col min="800" max="1038" width="9" style="1"/>
    <col min="1039" max="1039" width="8" style="1" customWidth="1"/>
    <col min="1040" max="1040" width="43.42578125" style="1" customWidth="1"/>
    <col min="1041" max="1041" width="8.42578125" style="1" customWidth="1"/>
    <col min="1042" max="1042" width="8.28515625" style="1" customWidth="1"/>
    <col min="1043" max="1043" width="10.7109375" style="1" customWidth="1"/>
    <col min="1044" max="1055" width="10.5703125" style="1" customWidth="1"/>
    <col min="1056" max="1294" width="9" style="1"/>
    <col min="1295" max="1295" width="8" style="1" customWidth="1"/>
    <col min="1296" max="1296" width="43.42578125" style="1" customWidth="1"/>
    <col min="1297" max="1297" width="8.42578125" style="1" customWidth="1"/>
    <col min="1298" max="1298" width="8.28515625" style="1" customWidth="1"/>
    <col min="1299" max="1299" width="10.7109375" style="1" customWidth="1"/>
    <col min="1300" max="1311" width="10.5703125" style="1" customWidth="1"/>
    <col min="1312" max="1550" width="9" style="1"/>
    <col min="1551" max="1551" width="8" style="1" customWidth="1"/>
    <col min="1552" max="1552" width="43.42578125" style="1" customWidth="1"/>
    <col min="1553" max="1553" width="8.42578125" style="1" customWidth="1"/>
    <col min="1554" max="1554" width="8.28515625" style="1" customWidth="1"/>
    <col min="1555" max="1555" width="10.7109375" style="1" customWidth="1"/>
    <col min="1556" max="1567" width="10.5703125" style="1" customWidth="1"/>
    <col min="1568" max="1806" width="9" style="1"/>
    <col min="1807" max="1807" width="8" style="1" customWidth="1"/>
    <col min="1808" max="1808" width="43.42578125" style="1" customWidth="1"/>
    <col min="1809" max="1809" width="8.42578125" style="1" customWidth="1"/>
    <col min="1810" max="1810" width="8.28515625" style="1" customWidth="1"/>
    <col min="1811" max="1811" width="10.7109375" style="1" customWidth="1"/>
    <col min="1812" max="1823" width="10.5703125" style="1" customWidth="1"/>
    <col min="1824" max="2062" width="9" style="1"/>
    <col min="2063" max="2063" width="8" style="1" customWidth="1"/>
    <col min="2064" max="2064" width="43.42578125" style="1" customWidth="1"/>
    <col min="2065" max="2065" width="8.42578125" style="1" customWidth="1"/>
    <col min="2066" max="2066" width="8.28515625" style="1" customWidth="1"/>
    <col min="2067" max="2067" width="10.7109375" style="1" customWidth="1"/>
    <col min="2068" max="2079" width="10.5703125" style="1" customWidth="1"/>
    <col min="2080" max="2318" width="9" style="1"/>
    <col min="2319" max="2319" width="8" style="1" customWidth="1"/>
    <col min="2320" max="2320" width="43.42578125" style="1" customWidth="1"/>
    <col min="2321" max="2321" width="8.42578125" style="1" customWidth="1"/>
    <col min="2322" max="2322" width="8.28515625" style="1" customWidth="1"/>
    <col min="2323" max="2323" width="10.7109375" style="1" customWidth="1"/>
    <col min="2324" max="2335" width="10.5703125" style="1" customWidth="1"/>
    <col min="2336" max="2574" width="9" style="1"/>
    <col min="2575" max="2575" width="8" style="1" customWidth="1"/>
    <col min="2576" max="2576" width="43.42578125" style="1" customWidth="1"/>
    <col min="2577" max="2577" width="8.42578125" style="1" customWidth="1"/>
    <col min="2578" max="2578" width="8.28515625" style="1" customWidth="1"/>
    <col min="2579" max="2579" width="10.7109375" style="1" customWidth="1"/>
    <col min="2580" max="2591" width="10.5703125" style="1" customWidth="1"/>
    <col min="2592" max="2830" width="9" style="1"/>
    <col min="2831" max="2831" width="8" style="1" customWidth="1"/>
    <col min="2832" max="2832" width="43.42578125" style="1" customWidth="1"/>
    <col min="2833" max="2833" width="8.42578125" style="1" customWidth="1"/>
    <col min="2834" max="2834" width="8.28515625" style="1" customWidth="1"/>
    <col min="2835" max="2835" width="10.7109375" style="1" customWidth="1"/>
    <col min="2836" max="2847" width="10.5703125" style="1" customWidth="1"/>
    <col min="2848" max="3086" width="9" style="1"/>
    <col min="3087" max="3087" width="8" style="1" customWidth="1"/>
    <col min="3088" max="3088" width="43.42578125" style="1" customWidth="1"/>
    <col min="3089" max="3089" width="8.42578125" style="1" customWidth="1"/>
    <col min="3090" max="3090" width="8.28515625" style="1" customWidth="1"/>
    <col min="3091" max="3091" width="10.7109375" style="1" customWidth="1"/>
    <col min="3092" max="3103" width="10.5703125" style="1" customWidth="1"/>
    <col min="3104" max="3342" width="9" style="1"/>
    <col min="3343" max="3343" width="8" style="1" customWidth="1"/>
    <col min="3344" max="3344" width="43.42578125" style="1" customWidth="1"/>
    <col min="3345" max="3345" width="8.42578125" style="1" customWidth="1"/>
    <col min="3346" max="3346" width="8.28515625" style="1" customWidth="1"/>
    <col min="3347" max="3347" width="10.7109375" style="1" customWidth="1"/>
    <col min="3348" max="3359" width="10.5703125" style="1" customWidth="1"/>
    <col min="3360" max="3598" width="9" style="1"/>
    <col min="3599" max="3599" width="8" style="1" customWidth="1"/>
    <col min="3600" max="3600" width="43.42578125" style="1" customWidth="1"/>
    <col min="3601" max="3601" width="8.42578125" style="1" customWidth="1"/>
    <col min="3602" max="3602" width="8.28515625" style="1" customWidth="1"/>
    <col min="3603" max="3603" width="10.7109375" style="1" customWidth="1"/>
    <col min="3604" max="3615" width="10.5703125" style="1" customWidth="1"/>
    <col min="3616" max="3854" width="9" style="1"/>
    <col min="3855" max="3855" width="8" style="1" customWidth="1"/>
    <col min="3856" max="3856" width="43.42578125" style="1" customWidth="1"/>
    <col min="3857" max="3857" width="8.42578125" style="1" customWidth="1"/>
    <col min="3858" max="3858" width="8.28515625" style="1" customWidth="1"/>
    <col min="3859" max="3859" width="10.7109375" style="1" customWidth="1"/>
    <col min="3860" max="3871" width="10.5703125" style="1" customWidth="1"/>
    <col min="3872" max="4110" width="9" style="1"/>
    <col min="4111" max="4111" width="8" style="1" customWidth="1"/>
    <col min="4112" max="4112" width="43.42578125" style="1" customWidth="1"/>
    <col min="4113" max="4113" width="8.42578125" style="1" customWidth="1"/>
    <col min="4114" max="4114" width="8.28515625" style="1" customWidth="1"/>
    <col min="4115" max="4115" width="10.7109375" style="1" customWidth="1"/>
    <col min="4116" max="4127" width="10.5703125" style="1" customWidth="1"/>
    <col min="4128" max="4366" width="9" style="1"/>
    <col min="4367" max="4367" width="8" style="1" customWidth="1"/>
    <col min="4368" max="4368" width="43.42578125" style="1" customWidth="1"/>
    <col min="4369" max="4369" width="8.42578125" style="1" customWidth="1"/>
    <col min="4370" max="4370" width="8.28515625" style="1" customWidth="1"/>
    <col min="4371" max="4371" width="10.7109375" style="1" customWidth="1"/>
    <col min="4372" max="4383" width="10.5703125" style="1" customWidth="1"/>
    <col min="4384" max="4622" width="9" style="1"/>
    <col min="4623" max="4623" width="8" style="1" customWidth="1"/>
    <col min="4624" max="4624" width="43.42578125" style="1" customWidth="1"/>
    <col min="4625" max="4625" width="8.42578125" style="1" customWidth="1"/>
    <col min="4626" max="4626" width="8.28515625" style="1" customWidth="1"/>
    <col min="4627" max="4627" width="10.7109375" style="1" customWidth="1"/>
    <col min="4628" max="4639" width="10.5703125" style="1" customWidth="1"/>
    <col min="4640" max="4878" width="9" style="1"/>
    <col min="4879" max="4879" width="8" style="1" customWidth="1"/>
    <col min="4880" max="4880" width="43.42578125" style="1" customWidth="1"/>
    <col min="4881" max="4881" width="8.42578125" style="1" customWidth="1"/>
    <col min="4882" max="4882" width="8.28515625" style="1" customWidth="1"/>
    <col min="4883" max="4883" width="10.7109375" style="1" customWidth="1"/>
    <col min="4884" max="4895" width="10.5703125" style="1" customWidth="1"/>
    <col min="4896" max="5134" width="9" style="1"/>
    <col min="5135" max="5135" width="8" style="1" customWidth="1"/>
    <col min="5136" max="5136" width="43.42578125" style="1" customWidth="1"/>
    <col min="5137" max="5137" width="8.42578125" style="1" customWidth="1"/>
    <col min="5138" max="5138" width="8.28515625" style="1" customWidth="1"/>
    <col min="5139" max="5139" width="10.7109375" style="1" customWidth="1"/>
    <col min="5140" max="5151" width="10.5703125" style="1" customWidth="1"/>
    <col min="5152" max="5390" width="9" style="1"/>
    <col min="5391" max="5391" width="8" style="1" customWidth="1"/>
    <col min="5392" max="5392" width="43.42578125" style="1" customWidth="1"/>
    <col min="5393" max="5393" width="8.42578125" style="1" customWidth="1"/>
    <col min="5394" max="5394" width="8.28515625" style="1" customWidth="1"/>
    <col min="5395" max="5395" width="10.7109375" style="1" customWidth="1"/>
    <col min="5396" max="5407" width="10.5703125" style="1" customWidth="1"/>
    <col min="5408" max="5646" width="9" style="1"/>
    <col min="5647" max="5647" width="8" style="1" customWidth="1"/>
    <col min="5648" max="5648" width="43.42578125" style="1" customWidth="1"/>
    <col min="5649" max="5649" width="8.42578125" style="1" customWidth="1"/>
    <col min="5650" max="5650" width="8.28515625" style="1" customWidth="1"/>
    <col min="5651" max="5651" width="10.7109375" style="1" customWidth="1"/>
    <col min="5652" max="5663" width="10.5703125" style="1" customWidth="1"/>
    <col min="5664" max="5902" width="9" style="1"/>
    <col min="5903" max="5903" width="8" style="1" customWidth="1"/>
    <col min="5904" max="5904" width="43.42578125" style="1" customWidth="1"/>
    <col min="5905" max="5905" width="8.42578125" style="1" customWidth="1"/>
    <col min="5906" max="5906" width="8.28515625" style="1" customWidth="1"/>
    <col min="5907" max="5907" width="10.7109375" style="1" customWidth="1"/>
    <col min="5908" max="5919" width="10.5703125" style="1" customWidth="1"/>
    <col min="5920" max="6158" width="9" style="1"/>
    <col min="6159" max="6159" width="8" style="1" customWidth="1"/>
    <col min="6160" max="6160" width="43.42578125" style="1" customWidth="1"/>
    <col min="6161" max="6161" width="8.42578125" style="1" customWidth="1"/>
    <col min="6162" max="6162" width="8.28515625" style="1" customWidth="1"/>
    <col min="6163" max="6163" width="10.7109375" style="1" customWidth="1"/>
    <col min="6164" max="6175" width="10.5703125" style="1" customWidth="1"/>
    <col min="6176" max="6414" width="9" style="1"/>
    <col min="6415" max="6415" width="8" style="1" customWidth="1"/>
    <col min="6416" max="6416" width="43.42578125" style="1" customWidth="1"/>
    <col min="6417" max="6417" width="8.42578125" style="1" customWidth="1"/>
    <col min="6418" max="6418" width="8.28515625" style="1" customWidth="1"/>
    <col min="6419" max="6419" width="10.7109375" style="1" customWidth="1"/>
    <col min="6420" max="6431" width="10.5703125" style="1" customWidth="1"/>
    <col min="6432" max="6670" width="9" style="1"/>
    <col min="6671" max="6671" width="8" style="1" customWidth="1"/>
    <col min="6672" max="6672" width="43.42578125" style="1" customWidth="1"/>
    <col min="6673" max="6673" width="8.42578125" style="1" customWidth="1"/>
    <col min="6674" max="6674" width="8.28515625" style="1" customWidth="1"/>
    <col min="6675" max="6675" width="10.7109375" style="1" customWidth="1"/>
    <col min="6676" max="6687" width="10.5703125" style="1" customWidth="1"/>
    <col min="6688" max="6926" width="9" style="1"/>
    <col min="6927" max="6927" width="8" style="1" customWidth="1"/>
    <col min="6928" max="6928" width="43.42578125" style="1" customWidth="1"/>
    <col min="6929" max="6929" width="8.42578125" style="1" customWidth="1"/>
    <col min="6930" max="6930" width="8.28515625" style="1" customWidth="1"/>
    <col min="6931" max="6931" width="10.7109375" style="1" customWidth="1"/>
    <col min="6932" max="6943" width="10.5703125" style="1" customWidth="1"/>
    <col min="6944" max="7182" width="9" style="1"/>
    <col min="7183" max="7183" width="8" style="1" customWidth="1"/>
    <col min="7184" max="7184" width="43.42578125" style="1" customWidth="1"/>
    <col min="7185" max="7185" width="8.42578125" style="1" customWidth="1"/>
    <col min="7186" max="7186" width="8.28515625" style="1" customWidth="1"/>
    <col min="7187" max="7187" width="10.7109375" style="1" customWidth="1"/>
    <col min="7188" max="7199" width="10.5703125" style="1" customWidth="1"/>
    <col min="7200" max="7438" width="9" style="1"/>
    <col min="7439" max="7439" width="8" style="1" customWidth="1"/>
    <col min="7440" max="7440" width="43.42578125" style="1" customWidth="1"/>
    <col min="7441" max="7441" width="8.42578125" style="1" customWidth="1"/>
    <col min="7442" max="7442" width="8.28515625" style="1" customWidth="1"/>
    <col min="7443" max="7443" width="10.7109375" style="1" customWidth="1"/>
    <col min="7444" max="7455" width="10.5703125" style="1" customWidth="1"/>
    <col min="7456" max="7694" width="9" style="1"/>
    <col min="7695" max="7695" width="8" style="1" customWidth="1"/>
    <col min="7696" max="7696" width="43.42578125" style="1" customWidth="1"/>
    <col min="7697" max="7697" width="8.42578125" style="1" customWidth="1"/>
    <col min="7698" max="7698" width="8.28515625" style="1" customWidth="1"/>
    <col min="7699" max="7699" width="10.7109375" style="1" customWidth="1"/>
    <col min="7700" max="7711" width="10.5703125" style="1" customWidth="1"/>
    <col min="7712" max="7950" width="9" style="1"/>
    <col min="7951" max="7951" width="8" style="1" customWidth="1"/>
    <col min="7952" max="7952" width="43.42578125" style="1" customWidth="1"/>
    <col min="7953" max="7953" width="8.42578125" style="1" customWidth="1"/>
    <col min="7954" max="7954" width="8.28515625" style="1" customWidth="1"/>
    <col min="7955" max="7955" width="10.7109375" style="1" customWidth="1"/>
    <col min="7956" max="7967" width="10.5703125" style="1" customWidth="1"/>
    <col min="7968" max="8206" width="9" style="1"/>
    <col min="8207" max="8207" width="8" style="1" customWidth="1"/>
    <col min="8208" max="8208" width="43.42578125" style="1" customWidth="1"/>
    <col min="8209" max="8209" width="8.42578125" style="1" customWidth="1"/>
    <col min="8210" max="8210" width="8.28515625" style="1" customWidth="1"/>
    <col min="8211" max="8211" width="10.7109375" style="1" customWidth="1"/>
    <col min="8212" max="8223" width="10.5703125" style="1" customWidth="1"/>
    <col min="8224" max="8462" width="9" style="1"/>
    <col min="8463" max="8463" width="8" style="1" customWidth="1"/>
    <col min="8464" max="8464" width="43.42578125" style="1" customWidth="1"/>
    <col min="8465" max="8465" width="8.42578125" style="1" customWidth="1"/>
    <col min="8466" max="8466" width="8.28515625" style="1" customWidth="1"/>
    <col min="8467" max="8467" width="10.7109375" style="1" customWidth="1"/>
    <col min="8468" max="8479" width="10.5703125" style="1" customWidth="1"/>
    <col min="8480" max="8718" width="9" style="1"/>
    <col min="8719" max="8719" width="8" style="1" customWidth="1"/>
    <col min="8720" max="8720" width="43.42578125" style="1" customWidth="1"/>
    <col min="8721" max="8721" width="8.42578125" style="1" customWidth="1"/>
    <col min="8722" max="8722" width="8.28515625" style="1" customWidth="1"/>
    <col min="8723" max="8723" width="10.7109375" style="1" customWidth="1"/>
    <col min="8724" max="8735" width="10.5703125" style="1" customWidth="1"/>
    <col min="8736" max="8974" width="9" style="1"/>
    <col min="8975" max="8975" width="8" style="1" customWidth="1"/>
    <col min="8976" max="8976" width="43.42578125" style="1" customWidth="1"/>
    <col min="8977" max="8977" width="8.42578125" style="1" customWidth="1"/>
    <col min="8978" max="8978" width="8.28515625" style="1" customWidth="1"/>
    <col min="8979" max="8979" width="10.7109375" style="1" customWidth="1"/>
    <col min="8980" max="8991" width="10.5703125" style="1" customWidth="1"/>
    <col min="8992" max="9230" width="9" style="1"/>
    <col min="9231" max="9231" width="8" style="1" customWidth="1"/>
    <col min="9232" max="9232" width="43.42578125" style="1" customWidth="1"/>
    <col min="9233" max="9233" width="8.42578125" style="1" customWidth="1"/>
    <col min="9234" max="9234" width="8.28515625" style="1" customWidth="1"/>
    <col min="9235" max="9235" width="10.7109375" style="1" customWidth="1"/>
    <col min="9236" max="9247" width="10.5703125" style="1" customWidth="1"/>
    <col min="9248" max="9486" width="9" style="1"/>
    <col min="9487" max="9487" width="8" style="1" customWidth="1"/>
    <col min="9488" max="9488" width="43.42578125" style="1" customWidth="1"/>
    <col min="9489" max="9489" width="8.42578125" style="1" customWidth="1"/>
    <col min="9490" max="9490" width="8.28515625" style="1" customWidth="1"/>
    <col min="9491" max="9491" width="10.7109375" style="1" customWidth="1"/>
    <col min="9492" max="9503" width="10.5703125" style="1" customWidth="1"/>
    <col min="9504" max="9742" width="9" style="1"/>
    <col min="9743" max="9743" width="8" style="1" customWidth="1"/>
    <col min="9744" max="9744" width="43.42578125" style="1" customWidth="1"/>
    <col min="9745" max="9745" width="8.42578125" style="1" customWidth="1"/>
    <col min="9746" max="9746" width="8.28515625" style="1" customWidth="1"/>
    <col min="9747" max="9747" width="10.7109375" style="1" customWidth="1"/>
    <col min="9748" max="9759" width="10.5703125" style="1" customWidth="1"/>
    <col min="9760" max="9998" width="9" style="1"/>
    <col min="9999" max="9999" width="8" style="1" customWidth="1"/>
    <col min="10000" max="10000" width="43.42578125" style="1" customWidth="1"/>
    <col min="10001" max="10001" width="8.42578125" style="1" customWidth="1"/>
    <col min="10002" max="10002" width="8.28515625" style="1" customWidth="1"/>
    <col min="10003" max="10003" width="10.7109375" style="1" customWidth="1"/>
    <col min="10004" max="10015" width="10.5703125" style="1" customWidth="1"/>
    <col min="10016" max="10254" width="9" style="1"/>
    <col min="10255" max="10255" width="8" style="1" customWidth="1"/>
    <col min="10256" max="10256" width="43.42578125" style="1" customWidth="1"/>
    <col min="10257" max="10257" width="8.42578125" style="1" customWidth="1"/>
    <col min="10258" max="10258" width="8.28515625" style="1" customWidth="1"/>
    <col min="10259" max="10259" width="10.7109375" style="1" customWidth="1"/>
    <col min="10260" max="10271" width="10.5703125" style="1" customWidth="1"/>
    <col min="10272" max="10510" width="9" style="1"/>
    <col min="10511" max="10511" width="8" style="1" customWidth="1"/>
    <col min="10512" max="10512" width="43.42578125" style="1" customWidth="1"/>
    <col min="10513" max="10513" width="8.42578125" style="1" customWidth="1"/>
    <col min="10514" max="10514" width="8.28515625" style="1" customWidth="1"/>
    <col min="10515" max="10515" width="10.7109375" style="1" customWidth="1"/>
    <col min="10516" max="10527" width="10.5703125" style="1" customWidth="1"/>
    <col min="10528" max="10766" width="9" style="1"/>
    <col min="10767" max="10767" width="8" style="1" customWidth="1"/>
    <col min="10768" max="10768" width="43.42578125" style="1" customWidth="1"/>
    <col min="10769" max="10769" width="8.42578125" style="1" customWidth="1"/>
    <col min="10770" max="10770" width="8.28515625" style="1" customWidth="1"/>
    <col min="10771" max="10771" width="10.7109375" style="1" customWidth="1"/>
    <col min="10772" max="10783" width="10.5703125" style="1" customWidth="1"/>
    <col min="10784" max="11022" width="9" style="1"/>
    <col min="11023" max="11023" width="8" style="1" customWidth="1"/>
    <col min="11024" max="11024" width="43.42578125" style="1" customWidth="1"/>
    <col min="11025" max="11025" width="8.42578125" style="1" customWidth="1"/>
    <col min="11026" max="11026" width="8.28515625" style="1" customWidth="1"/>
    <col min="11027" max="11027" width="10.7109375" style="1" customWidth="1"/>
    <col min="11028" max="11039" width="10.5703125" style="1" customWidth="1"/>
    <col min="11040" max="11278" width="9" style="1"/>
    <col min="11279" max="11279" width="8" style="1" customWidth="1"/>
    <col min="11280" max="11280" width="43.42578125" style="1" customWidth="1"/>
    <col min="11281" max="11281" width="8.42578125" style="1" customWidth="1"/>
    <col min="11282" max="11282" width="8.28515625" style="1" customWidth="1"/>
    <col min="11283" max="11283" width="10.7109375" style="1" customWidth="1"/>
    <col min="11284" max="11295" width="10.5703125" style="1" customWidth="1"/>
    <col min="11296" max="11534" width="9" style="1"/>
    <col min="11535" max="11535" width="8" style="1" customWidth="1"/>
    <col min="11536" max="11536" width="43.42578125" style="1" customWidth="1"/>
    <col min="11537" max="11537" width="8.42578125" style="1" customWidth="1"/>
    <col min="11538" max="11538" width="8.28515625" style="1" customWidth="1"/>
    <col min="11539" max="11539" width="10.7109375" style="1" customWidth="1"/>
    <col min="11540" max="11551" width="10.5703125" style="1" customWidth="1"/>
    <col min="11552" max="11790" width="9" style="1"/>
    <col min="11791" max="11791" width="8" style="1" customWidth="1"/>
    <col min="11792" max="11792" width="43.42578125" style="1" customWidth="1"/>
    <col min="11793" max="11793" width="8.42578125" style="1" customWidth="1"/>
    <col min="11794" max="11794" width="8.28515625" style="1" customWidth="1"/>
    <col min="11795" max="11795" width="10.7109375" style="1" customWidth="1"/>
    <col min="11796" max="11807" width="10.5703125" style="1" customWidth="1"/>
    <col min="11808" max="12046" width="9" style="1"/>
    <col min="12047" max="12047" width="8" style="1" customWidth="1"/>
    <col min="12048" max="12048" width="43.42578125" style="1" customWidth="1"/>
    <col min="12049" max="12049" width="8.42578125" style="1" customWidth="1"/>
    <col min="12050" max="12050" width="8.28515625" style="1" customWidth="1"/>
    <col min="12051" max="12051" width="10.7109375" style="1" customWidth="1"/>
    <col min="12052" max="12063" width="10.5703125" style="1" customWidth="1"/>
    <col min="12064" max="12302" width="9" style="1"/>
    <col min="12303" max="12303" width="8" style="1" customWidth="1"/>
    <col min="12304" max="12304" width="43.42578125" style="1" customWidth="1"/>
    <col min="12305" max="12305" width="8.42578125" style="1" customWidth="1"/>
    <col min="12306" max="12306" width="8.28515625" style="1" customWidth="1"/>
    <col min="12307" max="12307" width="10.7109375" style="1" customWidth="1"/>
    <col min="12308" max="12319" width="10.5703125" style="1" customWidth="1"/>
    <col min="12320" max="12558" width="9" style="1"/>
    <col min="12559" max="12559" width="8" style="1" customWidth="1"/>
    <col min="12560" max="12560" width="43.42578125" style="1" customWidth="1"/>
    <col min="12561" max="12561" width="8.42578125" style="1" customWidth="1"/>
    <col min="12562" max="12562" width="8.28515625" style="1" customWidth="1"/>
    <col min="12563" max="12563" width="10.7109375" style="1" customWidth="1"/>
    <col min="12564" max="12575" width="10.5703125" style="1" customWidth="1"/>
    <col min="12576" max="12814" width="9" style="1"/>
    <col min="12815" max="12815" width="8" style="1" customWidth="1"/>
    <col min="12816" max="12816" width="43.42578125" style="1" customWidth="1"/>
    <col min="12817" max="12817" width="8.42578125" style="1" customWidth="1"/>
    <col min="12818" max="12818" width="8.28515625" style="1" customWidth="1"/>
    <col min="12819" max="12819" width="10.7109375" style="1" customWidth="1"/>
    <col min="12820" max="12831" width="10.5703125" style="1" customWidth="1"/>
    <col min="12832" max="13070" width="9" style="1"/>
    <col min="13071" max="13071" width="8" style="1" customWidth="1"/>
    <col min="13072" max="13072" width="43.42578125" style="1" customWidth="1"/>
    <col min="13073" max="13073" width="8.42578125" style="1" customWidth="1"/>
    <col min="13074" max="13074" width="8.28515625" style="1" customWidth="1"/>
    <col min="13075" max="13075" width="10.7109375" style="1" customWidth="1"/>
    <col min="13076" max="13087" width="10.5703125" style="1" customWidth="1"/>
    <col min="13088" max="13326" width="9" style="1"/>
    <col min="13327" max="13327" width="8" style="1" customWidth="1"/>
    <col min="13328" max="13328" width="43.42578125" style="1" customWidth="1"/>
    <col min="13329" max="13329" width="8.42578125" style="1" customWidth="1"/>
    <col min="13330" max="13330" width="8.28515625" style="1" customWidth="1"/>
    <col min="13331" max="13331" width="10.7109375" style="1" customWidth="1"/>
    <col min="13332" max="13343" width="10.5703125" style="1" customWidth="1"/>
    <col min="13344" max="13582" width="9" style="1"/>
    <col min="13583" max="13583" width="8" style="1" customWidth="1"/>
    <col min="13584" max="13584" width="43.42578125" style="1" customWidth="1"/>
    <col min="13585" max="13585" width="8.42578125" style="1" customWidth="1"/>
    <col min="13586" max="13586" width="8.28515625" style="1" customWidth="1"/>
    <col min="13587" max="13587" width="10.7109375" style="1" customWidth="1"/>
    <col min="13588" max="13599" width="10.5703125" style="1" customWidth="1"/>
    <col min="13600" max="13838" width="9" style="1"/>
    <col min="13839" max="13839" width="8" style="1" customWidth="1"/>
    <col min="13840" max="13840" width="43.42578125" style="1" customWidth="1"/>
    <col min="13841" max="13841" width="8.42578125" style="1" customWidth="1"/>
    <col min="13842" max="13842" width="8.28515625" style="1" customWidth="1"/>
    <col min="13843" max="13843" width="10.7109375" style="1" customWidth="1"/>
    <col min="13844" max="13855" width="10.5703125" style="1" customWidth="1"/>
    <col min="13856" max="14094" width="9" style="1"/>
    <col min="14095" max="14095" width="8" style="1" customWidth="1"/>
    <col min="14096" max="14096" width="43.42578125" style="1" customWidth="1"/>
    <col min="14097" max="14097" width="8.42578125" style="1" customWidth="1"/>
    <col min="14098" max="14098" width="8.28515625" style="1" customWidth="1"/>
    <col min="14099" max="14099" width="10.7109375" style="1" customWidth="1"/>
    <col min="14100" max="14111" width="10.5703125" style="1" customWidth="1"/>
    <col min="14112" max="14350" width="9" style="1"/>
    <col min="14351" max="14351" width="8" style="1" customWidth="1"/>
    <col min="14352" max="14352" width="43.42578125" style="1" customWidth="1"/>
    <col min="14353" max="14353" width="8.42578125" style="1" customWidth="1"/>
    <col min="14354" max="14354" width="8.28515625" style="1" customWidth="1"/>
    <col min="14355" max="14355" width="10.7109375" style="1" customWidth="1"/>
    <col min="14356" max="14367" width="10.5703125" style="1" customWidth="1"/>
    <col min="14368" max="14606" width="9" style="1"/>
    <col min="14607" max="14607" width="8" style="1" customWidth="1"/>
    <col min="14608" max="14608" width="43.42578125" style="1" customWidth="1"/>
    <col min="14609" max="14609" width="8.42578125" style="1" customWidth="1"/>
    <col min="14610" max="14610" width="8.28515625" style="1" customWidth="1"/>
    <col min="14611" max="14611" width="10.7109375" style="1" customWidth="1"/>
    <col min="14612" max="14623" width="10.5703125" style="1" customWidth="1"/>
    <col min="14624" max="14862" width="9" style="1"/>
    <col min="14863" max="14863" width="8" style="1" customWidth="1"/>
    <col min="14864" max="14864" width="43.42578125" style="1" customWidth="1"/>
    <col min="14865" max="14865" width="8.42578125" style="1" customWidth="1"/>
    <col min="14866" max="14866" width="8.28515625" style="1" customWidth="1"/>
    <col min="14867" max="14867" width="10.7109375" style="1" customWidth="1"/>
    <col min="14868" max="14879" width="10.5703125" style="1" customWidth="1"/>
    <col min="14880" max="15118" width="9" style="1"/>
    <col min="15119" max="15119" width="8" style="1" customWidth="1"/>
    <col min="15120" max="15120" width="43.42578125" style="1" customWidth="1"/>
    <col min="15121" max="15121" width="8.42578125" style="1" customWidth="1"/>
    <col min="15122" max="15122" width="8.28515625" style="1" customWidth="1"/>
    <col min="15123" max="15123" width="10.7109375" style="1" customWidth="1"/>
    <col min="15124" max="15135" width="10.5703125" style="1" customWidth="1"/>
    <col min="15136" max="15374" width="9" style="1"/>
    <col min="15375" max="15375" width="8" style="1" customWidth="1"/>
    <col min="15376" max="15376" width="43.42578125" style="1" customWidth="1"/>
    <col min="15377" max="15377" width="8.42578125" style="1" customWidth="1"/>
    <col min="15378" max="15378" width="8.28515625" style="1" customWidth="1"/>
    <col min="15379" max="15379" width="10.7109375" style="1" customWidth="1"/>
    <col min="15380" max="15391" width="10.5703125" style="1" customWidth="1"/>
    <col min="15392" max="15630" width="9" style="1"/>
    <col min="15631" max="15631" width="8" style="1" customWidth="1"/>
    <col min="15632" max="15632" width="43.42578125" style="1" customWidth="1"/>
    <col min="15633" max="15633" width="8.42578125" style="1" customWidth="1"/>
    <col min="15634" max="15634" width="8.28515625" style="1" customWidth="1"/>
    <col min="15635" max="15635" width="10.7109375" style="1" customWidth="1"/>
    <col min="15636" max="15647" width="10.5703125" style="1" customWidth="1"/>
    <col min="15648" max="15886" width="9" style="1"/>
    <col min="15887" max="15887" width="8" style="1" customWidth="1"/>
    <col min="15888" max="15888" width="43.42578125" style="1" customWidth="1"/>
    <col min="15889" max="15889" width="8.42578125" style="1" customWidth="1"/>
    <col min="15890" max="15890" width="8.28515625" style="1" customWidth="1"/>
    <col min="15891" max="15891" width="10.7109375" style="1" customWidth="1"/>
    <col min="15892" max="15903" width="10.5703125" style="1" customWidth="1"/>
    <col min="15904" max="16142" width="9" style="1"/>
    <col min="16143" max="16143" width="8" style="1" customWidth="1"/>
    <col min="16144" max="16144" width="43.42578125" style="1" customWidth="1"/>
    <col min="16145" max="16145" width="8.42578125" style="1" customWidth="1"/>
    <col min="16146" max="16146" width="8.28515625" style="1" customWidth="1"/>
    <col min="16147" max="16147" width="10.7109375" style="1" customWidth="1"/>
    <col min="16148" max="16159" width="10.5703125" style="1" customWidth="1"/>
    <col min="16160" max="16384" width="9" style="1"/>
  </cols>
  <sheetData>
    <row r="1" spans="2:36" x14ac:dyDescent="0.3">
      <c r="B1" s="82" t="s">
        <v>88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52"/>
    </row>
    <row r="2" spans="2:36" ht="21.75" customHeight="1" x14ac:dyDescent="0.3">
      <c r="B2" s="53"/>
      <c r="C2" s="83" t="s">
        <v>151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5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3"/>
    </row>
    <row r="3" spans="2:36" ht="12" customHeight="1" x14ac:dyDescent="0.3">
      <c r="B3" s="5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5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3"/>
    </row>
    <row r="4" spans="2:36" ht="1.5" customHeight="1" x14ac:dyDescent="0.3">
      <c r="B4" s="5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3"/>
    </row>
    <row r="5" spans="2:36" ht="9.75" customHeight="1" x14ac:dyDescent="0.3">
      <c r="B5" s="5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5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3"/>
    </row>
    <row r="6" spans="2:36" ht="21" customHeight="1" x14ac:dyDescent="0.3">
      <c r="B6" s="52"/>
      <c r="C6" s="6"/>
      <c r="D6" s="52"/>
      <c r="E6" s="52"/>
      <c r="F6" s="52"/>
      <c r="G6" s="52"/>
      <c r="H6" s="52"/>
      <c r="I6" s="52"/>
      <c r="J6" s="52"/>
      <c r="K6" s="52"/>
      <c r="L6" s="7"/>
      <c r="M6" s="7"/>
      <c r="N6" s="7"/>
      <c r="O6" s="8" t="s">
        <v>44</v>
      </c>
      <c r="P6" s="8"/>
      <c r="Q6" s="9"/>
      <c r="R6" s="9"/>
      <c r="S6" s="52"/>
      <c r="T6" s="52"/>
      <c r="U6" s="52"/>
      <c r="V6" s="52"/>
      <c r="W6" s="52"/>
      <c r="Y6" s="52"/>
      <c r="AA6" s="52"/>
      <c r="AB6" s="52"/>
      <c r="AC6" s="52"/>
      <c r="AE6" s="52"/>
      <c r="AG6" s="52"/>
      <c r="AH6" s="52" t="s">
        <v>86</v>
      </c>
    </row>
    <row r="7" spans="2:36" ht="42.75" customHeight="1" x14ac:dyDescent="0.25">
      <c r="B7" s="77" t="s">
        <v>0</v>
      </c>
      <c r="C7" s="77" t="s">
        <v>1</v>
      </c>
      <c r="D7" s="73" t="s">
        <v>84</v>
      </c>
      <c r="E7" s="78"/>
      <c r="F7" s="79"/>
      <c r="G7" s="77" t="s">
        <v>98</v>
      </c>
      <c r="H7" s="73" t="s">
        <v>85</v>
      </c>
      <c r="I7" s="95"/>
      <c r="J7" s="95"/>
      <c r="K7" s="95"/>
      <c r="L7" s="95"/>
      <c r="M7" s="95"/>
      <c r="N7" s="95"/>
      <c r="O7" s="95"/>
      <c r="P7" s="74"/>
      <c r="Q7" s="73" t="s">
        <v>2</v>
      </c>
      <c r="R7" s="75"/>
      <c r="S7" s="73" t="s">
        <v>3</v>
      </c>
      <c r="T7" s="75"/>
      <c r="U7" s="73" t="s">
        <v>4</v>
      </c>
      <c r="V7" s="75"/>
      <c r="W7" s="73" t="s">
        <v>5</v>
      </c>
      <c r="X7" s="75"/>
      <c r="Y7" s="73" t="s">
        <v>6</v>
      </c>
      <c r="Z7" s="74"/>
      <c r="AA7" s="73" t="s">
        <v>7</v>
      </c>
      <c r="AB7" s="74"/>
      <c r="AC7" s="73" t="s">
        <v>8</v>
      </c>
      <c r="AD7" s="76"/>
      <c r="AE7" s="73" t="s">
        <v>9</v>
      </c>
      <c r="AF7" s="74"/>
      <c r="AG7" s="73" t="s">
        <v>10</v>
      </c>
      <c r="AH7" s="74"/>
      <c r="AI7" s="91"/>
    </row>
    <row r="8" spans="2:36" ht="42.75" customHeight="1" x14ac:dyDescent="0.25">
      <c r="B8" s="77"/>
      <c r="C8" s="77"/>
      <c r="D8" s="10"/>
      <c r="E8" s="11"/>
      <c r="F8" s="12"/>
      <c r="G8" s="77"/>
      <c r="H8" s="80" t="s">
        <v>82</v>
      </c>
      <c r="I8" s="96" t="s">
        <v>83</v>
      </c>
      <c r="J8" s="55"/>
      <c r="K8" s="55"/>
      <c r="L8" s="55"/>
      <c r="M8" s="55"/>
      <c r="N8" s="95" t="s">
        <v>150</v>
      </c>
      <c r="O8" s="95"/>
      <c r="P8" s="74"/>
      <c r="Q8" s="48"/>
      <c r="R8" s="49"/>
      <c r="S8" s="48"/>
      <c r="T8" s="49"/>
      <c r="U8" s="48"/>
      <c r="V8" s="49"/>
      <c r="W8" s="48"/>
      <c r="X8" s="49"/>
      <c r="Y8" s="48"/>
      <c r="Z8" s="50"/>
      <c r="AA8" s="48"/>
      <c r="AB8" s="50"/>
      <c r="AC8" s="48"/>
      <c r="AD8" s="51"/>
      <c r="AE8" s="48"/>
      <c r="AF8" s="50"/>
      <c r="AG8" s="48"/>
      <c r="AH8" s="50"/>
      <c r="AI8" s="92"/>
    </row>
    <row r="9" spans="2:36" ht="33.75" customHeight="1" x14ac:dyDescent="0.25">
      <c r="B9" s="77"/>
      <c r="C9" s="77"/>
      <c r="D9" s="13" t="s">
        <v>82</v>
      </c>
      <c r="E9" s="13"/>
      <c r="F9" s="13" t="s">
        <v>83</v>
      </c>
      <c r="G9" s="77"/>
      <c r="H9" s="81"/>
      <c r="I9" s="97"/>
      <c r="J9" s="14" t="s">
        <v>82</v>
      </c>
      <c r="K9" s="15" t="s">
        <v>83</v>
      </c>
      <c r="L9" s="15" t="s">
        <v>82</v>
      </c>
      <c r="M9" s="15" t="s">
        <v>83</v>
      </c>
      <c r="N9" s="15" t="s">
        <v>117</v>
      </c>
      <c r="O9" s="16" t="s">
        <v>118</v>
      </c>
      <c r="P9" s="16" t="s">
        <v>149</v>
      </c>
      <c r="Q9" s="15" t="s">
        <v>82</v>
      </c>
      <c r="R9" s="15" t="s">
        <v>83</v>
      </c>
      <c r="S9" s="15" t="s">
        <v>82</v>
      </c>
      <c r="T9" s="15" t="s">
        <v>83</v>
      </c>
      <c r="U9" s="15" t="s">
        <v>82</v>
      </c>
      <c r="V9" s="15" t="s">
        <v>83</v>
      </c>
      <c r="W9" s="15" t="s">
        <v>82</v>
      </c>
      <c r="X9" s="15" t="s">
        <v>83</v>
      </c>
      <c r="Y9" s="15" t="s">
        <v>82</v>
      </c>
      <c r="Z9" s="15" t="s">
        <v>83</v>
      </c>
      <c r="AA9" s="15" t="s">
        <v>82</v>
      </c>
      <c r="AB9" s="15" t="s">
        <v>83</v>
      </c>
      <c r="AC9" s="15" t="s">
        <v>82</v>
      </c>
      <c r="AD9" s="15" t="s">
        <v>83</v>
      </c>
      <c r="AE9" s="15" t="s">
        <v>82</v>
      </c>
      <c r="AF9" s="15" t="s">
        <v>83</v>
      </c>
      <c r="AG9" s="15" t="s">
        <v>82</v>
      </c>
      <c r="AH9" s="15" t="s">
        <v>83</v>
      </c>
      <c r="AI9" s="93"/>
    </row>
    <row r="10" spans="2:36" x14ac:dyDescent="0.3">
      <c r="B10" s="17">
        <v>1</v>
      </c>
      <c r="C10" s="17" t="s">
        <v>11</v>
      </c>
      <c r="D10" s="18">
        <f>D11+D12+D13+D15+D19+D20+D25+D23+D14</f>
        <v>18374.5</v>
      </c>
      <c r="E10" s="18">
        <f>E11+E12+E13+E15+E19+E20+E25+E23+E14</f>
        <v>8929.2000000000007</v>
      </c>
      <c r="F10" s="18">
        <f>F11+F15+F23+F25</f>
        <v>16880.5</v>
      </c>
      <c r="G10" s="18">
        <f>G11+G13+G23+G24+G22</f>
        <v>29603.599999999999</v>
      </c>
      <c r="H10" s="18">
        <f>H11+H13+H21+H23+H24+H22</f>
        <v>29603.599999999999</v>
      </c>
      <c r="I10" s="18">
        <f>I11+I13+I21+I22+I23+I24+I25</f>
        <v>32348.7</v>
      </c>
      <c r="J10" s="18">
        <f>J11+J13+J23+J24+J22</f>
        <v>2567</v>
      </c>
      <c r="K10" s="18">
        <f>K11+K13+K23+K24+K22+K21</f>
        <v>2795.5</v>
      </c>
      <c r="L10" s="18">
        <f t="shared" ref="L10:AH10" si="0">L11+L13+L23+L24+L22</f>
        <v>2305.9</v>
      </c>
      <c r="M10" s="18">
        <f>M11+M13+M23+M24+M22+M21</f>
        <v>2615.9</v>
      </c>
      <c r="N10" s="18">
        <f>I10/H10*100</f>
        <v>109.3</v>
      </c>
      <c r="O10" s="18">
        <f t="shared" ref="O10:O25" si="1">I10-H10</f>
        <v>2745.1</v>
      </c>
      <c r="P10" s="18">
        <f>I10/H10</f>
        <v>1.1000000000000001</v>
      </c>
      <c r="Q10" s="18">
        <f t="shared" si="0"/>
        <v>2525.1999999999998</v>
      </c>
      <c r="R10" s="18">
        <f t="shared" si="0"/>
        <v>0</v>
      </c>
      <c r="S10" s="18">
        <f t="shared" si="0"/>
        <v>2287</v>
      </c>
      <c r="T10" s="18">
        <f t="shared" si="0"/>
        <v>0</v>
      </c>
      <c r="U10" s="18">
        <f t="shared" si="0"/>
        <v>2308.9</v>
      </c>
      <c r="V10" s="18">
        <f t="shared" si="0"/>
        <v>0</v>
      </c>
      <c r="W10" s="18">
        <f t="shared" si="0"/>
        <v>2527.9</v>
      </c>
      <c r="X10" s="18">
        <f t="shared" si="0"/>
        <v>0</v>
      </c>
      <c r="Y10" s="18">
        <f t="shared" si="0"/>
        <v>2291.6999999999998</v>
      </c>
      <c r="Z10" s="18">
        <f t="shared" si="0"/>
        <v>0</v>
      </c>
      <c r="AA10" s="18">
        <f t="shared" si="0"/>
        <v>2287.6999999999998</v>
      </c>
      <c r="AB10" s="18">
        <f t="shared" si="0"/>
        <v>0</v>
      </c>
      <c r="AC10" s="18">
        <f t="shared" si="0"/>
        <v>2577.8000000000002</v>
      </c>
      <c r="AD10" s="18">
        <f t="shared" si="0"/>
        <v>0</v>
      </c>
      <c r="AE10" s="18">
        <f t="shared" si="0"/>
        <v>2311.9</v>
      </c>
      <c r="AF10" s="18">
        <f t="shared" si="0"/>
        <v>0</v>
      </c>
      <c r="AG10" s="18">
        <f t="shared" si="0"/>
        <v>2311.9</v>
      </c>
      <c r="AH10" s="18">
        <f t="shared" si="0"/>
        <v>0</v>
      </c>
      <c r="AI10" s="56"/>
      <c r="AJ10" s="57"/>
    </row>
    <row r="11" spans="2:36" ht="27.75" customHeight="1" x14ac:dyDescent="0.25">
      <c r="B11" s="19" t="s">
        <v>12</v>
      </c>
      <c r="C11" s="20" t="s">
        <v>65</v>
      </c>
      <c r="D11" s="21">
        <v>17497.599999999999</v>
      </c>
      <c r="E11" s="21">
        <v>4294.2</v>
      </c>
      <c r="F11" s="21">
        <v>16016.2</v>
      </c>
      <c r="G11" s="22">
        <v>25820</v>
      </c>
      <c r="H11" s="22">
        <v>25820</v>
      </c>
      <c r="I11" s="22">
        <v>26460.7</v>
      </c>
      <c r="J11" s="22">
        <v>2085</v>
      </c>
      <c r="K11" s="22">
        <v>2235</v>
      </c>
      <c r="L11" s="22">
        <v>2085</v>
      </c>
      <c r="M11" s="22">
        <f>2083.921+0.34175</f>
        <v>2084.3000000000002</v>
      </c>
      <c r="N11" s="22">
        <f t="shared" ref="N11:N24" si="2">I11/H11*100</f>
        <v>102.5</v>
      </c>
      <c r="O11" s="22">
        <f t="shared" si="1"/>
        <v>640.70000000000005</v>
      </c>
      <c r="P11" s="22">
        <f t="shared" ref="P11:P59" si="3">I11/H11</f>
        <v>1</v>
      </c>
      <c r="Q11" s="22">
        <v>2085</v>
      </c>
      <c r="R11" s="22"/>
      <c r="S11" s="22">
        <v>2085</v>
      </c>
      <c r="T11" s="22"/>
      <c r="U11" s="22">
        <v>2085</v>
      </c>
      <c r="V11" s="22"/>
      <c r="W11" s="22">
        <v>2085</v>
      </c>
      <c r="X11" s="22"/>
      <c r="Y11" s="22">
        <v>2085</v>
      </c>
      <c r="Z11" s="22"/>
      <c r="AA11" s="22">
        <v>2085</v>
      </c>
      <c r="AB11" s="22"/>
      <c r="AC11" s="22">
        <v>2085</v>
      </c>
      <c r="AD11" s="22"/>
      <c r="AE11" s="22">
        <v>2085</v>
      </c>
      <c r="AF11" s="22"/>
      <c r="AG11" s="22">
        <v>2085</v>
      </c>
      <c r="AH11" s="22"/>
      <c r="AI11" s="58" t="s">
        <v>124</v>
      </c>
    </row>
    <row r="12" spans="2:36" ht="40.5" hidden="1" customHeight="1" x14ac:dyDescent="0.3">
      <c r="B12" s="23" t="s">
        <v>89</v>
      </c>
      <c r="C12" s="19" t="s">
        <v>90</v>
      </c>
      <c r="D12" s="24"/>
      <c r="E12" s="24">
        <v>4008.4</v>
      </c>
      <c r="F12" s="24"/>
      <c r="G12" s="22" t="e">
        <f ca="1">H12+L12+N12+Q12+S12+U12+W12+Y12+AA12+AC12+AE12+AG12+AI12</f>
        <v>#REF!</v>
      </c>
      <c r="H12" s="22" t="e">
        <f ca="1">L12+N12+Q12+S12+U12+W12+Y12+AA12+AC12+AE12+AG12+AC12+AG12</f>
        <v>#REF!</v>
      </c>
      <c r="I12" s="22" t="e">
        <f ca="1">SUM(K12+M12+O12+R12+T12+V12+X12+Z12+AB12+AD12+AF12+AH12)</f>
        <v>#REF!</v>
      </c>
      <c r="J12" s="22" t="e">
        <f ca="1">N12+Q12+S12+U12+W12+Y12+AA12+AC12+AE12+AG12+AI12+AE12+AI12</f>
        <v>#REF!</v>
      </c>
      <c r="K12" s="22">
        <v>0</v>
      </c>
      <c r="L12" s="22" t="e">
        <f ca="1">N12+Q12+S12+U12+W12+Y12+AA12+AC12+AE12+AG12+AI12+#REF!+#REF!</f>
        <v>#REF!</v>
      </c>
      <c r="M12" s="22"/>
      <c r="N12" s="22" t="e">
        <f t="shared" ca="1" si="2"/>
        <v>#REF!</v>
      </c>
      <c r="O12" s="22" t="e">
        <f t="shared" ca="1" si="1"/>
        <v>#REF!</v>
      </c>
      <c r="P12" s="22">
        <f t="shared" ca="1" si="3"/>
        <v>1.1000000000000001</v>
      </c>
      <c r="Q12" s="22" t="e">
        <f>S12+U12+W12+Y12+AA12+AC12+AE12+AG12+AI12+#REF!+#REF!+#REF!+AJ12</f>
        <v>#REF!</v>
      </c>
      <c r="R12" s="22"/>
      <c r="S12" s="22" t="e">
        <f>U12+W12+Y12+AA12+AC12+AE12+AG12+AI12+#REF!+#REF!+#REF!+AJ12+AK12</f>
        <v>#REF!</v>
      </c>
      <c r="T12" s="22"/>
      <c r="U12" s="22" t="e">
        <f>W12+Y12+AA12+AC12+AE12+AG12+AI12+#REF!+#REF!+#REF!+AJ12+AK12+AL12</f>
        <v>#REF!</v>
      </c>
      <c r="V12" s="22"/>
      <c r="W12" s="22" t="e">
        <f>Y12+AA12+AC12+AE12+AG12+AI12+#REF!+#REF!+#REF!+AJ12+AK12+AL12+AM12</f>
        <v>#REF!</v>
      </c>
      <c r="X12" s="22"/>
      <c r="Y12" s="22" t="e">
        <f>AA12+AC12+AE12+AG12+AI12+#REF!+#REF!+#REF!+AJ12+AK12+AL12+AM12+AN12</f>
        <v>#REF!</v>
      </c>
      <c r="Z12" s="22"/>
      <c r="AA12" s="22" t="e">
        <f>AC12+AE12+AG12+AI12+#REF!+#REF!+#REF!+AJ12+AK12+AL12+AM12+AN12+AO12</f>
        <v>#REF!</v>
      </c>
      <c r="AB12" s="22"/>
      <c r="AC12" s="22" t="e">
        <f>AE12+AG12+AI12+#REF!+#REF!+#REF!+AJ12+AK12+AL12+AM12+AN12+AO12+AP12</f>
        <v>#REF!</v>
      </c>
      <c r="AD12" s="22"/>
      <c r="AE12" s="22" t="e">
        <f>AG12+AI12+#REF!+#REF!+#REF!+AJ12+AK12+AL12+AM12+AN12+AO12+AP12+AQ12</f>
        <v>#REF!</v>
      </c>
      <c r="AF12" s="22"/>
      <c r="AG12" s="22" t="e">
        <f>AI12+#REF!+#REF!+#REF!+AJ12+AK12+AL12+AM12+AN12+AO12+AP12+AQ12+AR12</f>
        <v>#REF!</v>
      </c>
      <c r="AH12" s="22"/>
      <c r="AI12" s="56"/>
    </row>
    <row r="13" spans="2:36" x14ac:dyDescent="0.3">
      <c r="B13" s="19" t="s">
        <v>13</v>
      </c>
      <c r="C13" s="19" t="s">
        <v>92</v>
      </c>
      <c r="D13" s="24">
        <v>0</v>
      </c>
      <c r="E13" s="24">
        <v>83</v>
      </c>
      <c r="F13" s="24"/>
      <c r="G13" s="22">
        <f>G15+G16+G17+G18</f>
        <v>2354.1</v>
      </c>
      <c r="H13" s="22">
        <f>H15+H16+H17+H18</f>
        <v>2354.1</v>
      </c>
      <c r="I13" s="22">
        <f>I15+I16+I17+I18</f>
        <v>1935.8</v>
      </c>
      <c r="J13" s="22">
        <f>SUM(J15:J18)</f>
        <v>358.9</v>
      </c>
      <c r="K13" s="22">
        <f t="shared" ref="K13:AH13" si="4">SUM(K15:K18)</f>
        <v>137.4</v>
      </c>
      <c r="L13" s="22">
        <f t="shared" si="4"/>
        <v>96.1</v>
      </c>
      <c r="M13" s="22">
        <f t="shared" si="4"/>
        <v>131.5</v>
      </c>
      <c r="N13" s="22">
        <f t="shared" si="2"/>
        <v>82.2</v>
      </c>
      <c r="O13" s="22">
        <f t="shared" si="1"/>
        <v>-418.3</v>
      </c>
      <c r="P13" s="22">
        <f t="shared" si="3"/>
        <v>0.8</v>
      </c>
      <c r="Q13" s="22">
        <f t="shared" si="4"/>
        <v>310.60000000000002</v>
      </c>
      <c r="R13" s="22">
        <f t="shared" si="4"/>
        <v>0</v>
      </c>
      <c r="S13" s="22">
        <f t="shared" si="4"/>
        <v>74.2</v>
      </c>
      <c r="T13" s="22">
        <f t="shared" si="4"/>
        <v>0</v>
      </c>
      <c r="U13" s="22">
        <f t="shared" si="4"/>
        <v>91.6</v>
      </c>
      <c r="V13" s="22">
        <f t="shared" si="4"/>
        <v>0</v>
      </c>
      <c r="W13" s="22">
        <f t="shared" si="4"/>
        <v>310.39999999999998</v>
      </c>
      <c r="X13" s="22">
        <f t="shared" si="4"/>
        <v>0</v>
      </c>
      <c r="Y13" s="22">
        <f t="shared" si="4"/>
        <v>74.2</v>
      </c>
      <c r="Z13" s="22">
        <f t="shared" si="4"/>
        <v>0</v>
      </c>
      <c r="AA13" s="22">
        <f t="shared" si="4"/>
        <v>74.2</v>
      </c>
      <c r="AB13" s="22">
        <f t="shared" si="4"/>
        <v>0</v>
      </c>
      <c r="AC13" s="22">
        <f t="shared" si="4"/>
        <v>362.2</v>
      </c>
      <c r="AD13" s="22">
        <f t="shared" si="4"/>
        <v>0</v>
      </c>
      <c r="AE13" s="22">
        <f t="shared" si="4"/>
        <v>96.1</v>
      </c>
      <c r="AF13" s="22">
        <f t="shared" si="4"/>
        <v>0</v>
      </c>
      <c r="AG13" s="22">
        <f t="shared" si="4"/>
        <v>96.1</v>
      </c>
      <c r="AH13" s="22">
        <f t="shared" si="4"/>
        <v>0</v>
      </c>
      <c r="AI13" s="56"/>
    </row>
    <row r="14" spans="2:36" hidden="1" x14ac:dyDescent="0.3">
      <c r="B14" s="19" t="s">
        <v>15</v>
      </c>
      <c r="C14" s="19" t="s">
        <v>78</v>
      </c>
      <c r="D14" s="24">
        <v>0</v>
      </c>
      <c r="E14" s="24">
        <v>110.1</v>
      </c>
      <c r="F14" s="24"/>
      <c r="G14" s="22">
        <f ca="1">H14+L14+N14+Q14+S14+U14+W14+Y14+AA14+AC14+AE14+AG14</f>
        <v>2.95556220656352E+143</v>
      </c>
      <c r="H14" s="22">
        <f t="shared" ref="H14" ca="1" si="5">J14+L14+N14</f>
        <v>2.95556220656352E+143</v>
      </c>
      <c r="I14" s="22">
        <f ca="1">SUM(K14+M14+O14+R14+T14+V14+X14+Z14+AB14+AD14+AF14+AH14)</f>
        <v>-5.5564569483394205E+142</v>
      </c>
      <c r="J14" s="22">
        <v>0</v>
      </c>
      <c r="K14" s="22"/>
      <c r="L14" s="22">
        <v>0</v>
      </c>
      <c r="M14" s="22"/>
      <c r="N14" s="22">
        <f t="shared" ca="1" si="2"/>
        <v>-18.8</v>
      </c>
      <c r="O14" s="22">
        <f t="shared" ca="1" si="1"/>
        <v>-3.5112079013974602E+143</v>
      </c>
      <c r="P14" s="22">
        <f t="shared" ca="1" si="3"/>
        <v>1.1000000000000001</v>
      </c>
      <c r="Q14" s="22">
        <v>0</v>
      </c>
      <c r="R14" s="22"/>
      <c r="S14" s="22">
        <v>0</v>
      </c>
      <c r="T14" s="22"/>
      <c r="U14" s="22">
        <v>0</v>
      </c>
      <c r="V14" s="22"/>
      <c r="W14" s="22">
        <v>0</v>
      </c>
      <c r="X14" s="22"/>
      <c r="Y14" s="22">
        <v>0</v>
      </c>
      <c r="Z14" s="22"/>
      <c r="AA14" s="22">
        <v>0</v>
      </c>
      <c r="AB14" s="22"/>
      <c r="AC14" s="22">
        <v>0</v>
      </c>
      <c r="AD14" s="25"/>
      <c r="AE14" s="22">
        <v>0</v>
      </c>
      <c r="AF14" s="22"/>
      <c r="AG14" s="22">
        <v>0</v>
      </c>
      <c r="AH14" s="22"/>
      <c r="AI14" s="56"/>
    </row>
    <row r="15" spans="2:36" ht="44.25" customHeight="1" x14ac:dyDescent="0.25">
      <c r="B15" s="19" t="s">
        <v>93</v>
      </c>
      <c r="C15" s="20" t="s">
        <v>94</v>
      </c>
      <c r="D15" s="24"/>
      <c r="E15" s="21"/>
      <c r="F15" s="21"/>
      <c r="G15" s="22">
        <v>1312.2</v>
      </c>
      <c r="H15" s="22">
        <v>1312.2</v>
      </c>
      <c r="I15" s="22">
        <v>610.70000000000005</v>
      </c>
      <c r="J15" s="22">
        <v>94.6</v>
      </c>
      <c r="K15" s="22">
        <v>0</v>
      </c>
      <c r="L15" s="22">
        <v>94.6</v>
      </c>
      <c r="M15" s="22">
        <v>50.2</v>
      </c>
      <c r="N15" s="22">
        <f t="shared" si="2"/>
        <v>46.5</v>
      </c>
      <c r="O15" s="22">
        <f t="shared" si="1"/>
        <v>-701.5</v>
      </c>
      <c r="P15" s="22">
        <f t="shared" si="3"/>
        <v>0.5</v>
      </c>
      <c r="Q15" s="22">
        <v>72.7</v>
      </c>
      <c r="R15" s="22"/>
      <c r="S15" s="22">
        <v>72.7</v>
      </c>
      <c r="T15" s="22"/>
      <c r="U15" s="22">
        <v>72.8</v>
      </c>
      <c r="V15" s="22"/>
      <c r="W15" s="22">
        <v>72.8</v>
      </c>
      <c r="X15" s="22"/>
      <c r="Y15" s="22">
        <v>72.7</v>
      </c>
      <c r="Z15" s="22"/>
      <c r="AA15" s="22">
        <v>72.7</v>
      </c>
      <c r="AB15" s="22"/>
      <c r="AC15" s="22">
        <v>89.4</v>
      </c>
      <c r="AD15" s="22"/>
      <c r="AE15" s="22">
        <v>94.6</v>
      </c>
      <c r="AF15" s="22"/>
      <c r="AG15" s="22">
        <v>94.6</v>
      </c>
      <c r="AH15" s="22"/>
      <c r="AI15" s="58" t="s">
        <v>125</v>
      </c>
    </row>
    <row r="16" spans="2:36" ht="39.75" customHeight="1" x14ac:dyDescent="0.25">
      <c r="B16" s="19" t="s">
        <v>95</v>
      </c>
      <c r="C16" s="20" t="s">
        <v>114</v>
      </c>
      <c r="D16" s="21"/>
      <c r="E16" s="21"/>
      <c r="F16" s="21"/>
      <c r="G16" s="22">
        <v>66.599999999999994</v>
      </c>
      <c r="H16" s="22">
        <v>66.599999999999994</v>
      </c>
      <c r="I16" s="22">
        <v>25</v>
      </c>
      <c r="J16" s="22">
        <v>0</v>
      </c>
      <c r="K16" s="22">
        <v>0</v>
      </c>
      <c r="L16" s="22">
        <v>0</v>
      </c>
      <c r="M16" s="22">
        <v>0</v>
      </c>
      <c r="N16" s="22">
        <f t="shared" si="2"/>
        <v>37.5</v>
      </c>
      <c r="O16" s="22">
        <f t="shared" si="1"/>
        <v>-41.6</v>
      </c>
      <c r="P16" s="22">
        <f>I16/H16</f>
        <v>0.4</v>
      </c>
      <c r="Q16" s="22">
        <v>33.299999999999997</v>
      </c>
      <c r="R16" s="22"/>
      <c r="S16" s="22">
        <v>0</v>
      </c>
      <c r="T16" s="22"/>
      <c r="U16" s="22">
        <v>0</v>
      </c>
      <c r="V16" s="22"/>
      <c r="W16" s="22">
        <v>0</v>
      </c>
      <c r="X16" s="22"/>
      <c r="Y16" s="22">
        <v>0</v>
      </c>
      <c r="Z16" s="22"/>
      <c r="AA16" s="22">
        <v>0</v>
      </c>
      <c r="AB16" s="22"/>
      <c r="AC16" s="22">
        <v>33.299999999999997</v>
      </c>
      <c r="AD16" s="22"/>
      <c r="AE16" s="22">
        <v>0</v>
      </c>
      <c r="AF16" s="22"/>
      <c r="AG16" s="22">
        <v>0</v>
      </c>
      <c r="AH16" s="22"/>
      <c r="AI16" s="59" t="s">
        <v>122</v>
      </c>
    </row>
    <row r="17" spans="2:39" ht="41.25" customHeight="1" x14ac:dyDescent="0.3">
      <c r="B17" s="19" t="s">
        <v>96</v>
      </c>
      <c r="C17" s="19" t="s">
        <v>121</v>
      </c>
      <c r="D17" s="21"/>
      <c r="E17" s="21"/>
      <c r="F17" s="21"/>
      <c r="G17" s="22">
        <v>0</v>
      </c>
      <c r="H17" s="22">
        <v>0</v>
      </c>
      <c r="I17" s="22">
        <v>688.5</v>
      </c>
      <c r="J17" s="22">
        <v>0</v>
      </c>
      <c r="K17" s="22">
        <v>72.599999999999994</v>
      </c>
      <c r="L17" s="22">
        <v>0</v>
      </c>
      <c r="M17" s="22">
        <v>57.9</v>
      </c>
      <c r="N17" s="22">
        <v>0</v>
      </c>
      <c r="O17" s="22">
        <f t="shared" si="1"/>
        <v>688.5</v>
      </c>
      <c r="P17" s="22"/>
      <c r="Q17" s="22">
        <v>0</v>
      </c>
      <c r="R17" s="22"/>
      <c r="S17" s="22">
        <v>0</v>
      </c>
      <c r="T17" s="22"/>
      <c r="U17" s="22">
        <v>0</v>
      </c>
      <c r="V17" s="22"/>
      <c r="W17" s="22">
        <v>0</v>
      </c>
      <c r="X17" s="22"/>
      <c r="Y17" s="22">
        <v>0</v>
      </c>
      <c r="Z17" s="22"/>
      <c r="AA17" s="22">
        <v>0</v>
      </c>
      <c r="AB17" s="22"/>
      <c r="AC17" s="22">
        <v>0</v>
      </c>
      <c r="AD17" s="22"/>
      <c r="AE17" s="22">
        <v>0</v>
      </c>
      <c r="AF17" s="22"/>
      <c r="AG17" s="22">
        <v>0</v>
      </c>
      <c r="AH17" s="22"/>
      <c r="AI17" s="60" t="s">
        <v>126</v>
      </c>
    </row>
    <row r="18" spans="2:39" ht="39.75" customHeight="1" x14ac:dyDescent="0.25">
      <c r="B18" s="19" t="s">
        <v>99</v>
      </c>
      <c r="C18" s="20" t="s">
        <v>115</v>
      </c>
      <c r="D18" s="21"/>
      <c r="E18" s="21"/>
      <c r="F18" s="21"/>
      <c r="G18" s="22">
        <v>975.3</v>
      </c>
      <c r="H18" s="22">
        <v>975.3</v>
      </c>
      <c r="I18" s="22">
        <v>611.6</v>
      </c>
      <c r="J18" s="22">
        <v>264.3</v>
      </c>
      <c r="K18" s="22">
        <v>64.8</v>
      </c>
      <c r="L18" s="22">
        <v>1.5</v>
      </c>
      <c r="M18" s="22">
        <v>23.4</v>
      </c>
      <c r="N18" s="22">
        <f t="shared" si="2"/>
        <v>62.7</v>
      </c>
      <c r="O18" s="22">
        <f t="shared" si="1"/>
        <v>-363.7</v>
      </c>
      <c r="P18" s="22">
        <f>I18/H18</f>
        <v>0.6</v>
      </c>
      <c r="Q18" s="22">
        <v>204.6</v>
      </c>
      <c r="R18" s="22"/>
      <c r="S18" s="22">
        <v>1.5</v>
      </c>
      <c r="T18" s="22"/>
      <c r="U18" s="22">
        <v>18.8</v>
      </c>
      <c r="V18" s="22"/>
      <c r="W18" s="22">
        <v>237.6</v>
      </c>
      <c r="X18" s="22"/>
      <c r="Y18" s="22">
        <v>1.5</v>
      </c>
      <c r="Z18" s="22"/>
      <c r="AA18" s="22">
        <v>1.5</v>
      </c>
      <c r="AB18" s="22"/>
      <c r="AC18" s="22">
        <v>239.5</v>
      </c>
      <c r="AD18" s="22"/>
      <c r="AE18" s="22">
        <v>1.5</v>
      </c>
      <c r="AF18" s="22"/>
      <c r="AG18" s="22">
        <v>1.5</v>
      </c>
      <c r="AH18" s="22"/>
      <c r="AI18" s="59" t="s">
        <v>123</v>
      </c>
    </row>
    <row r="19" spans="2:39" ht="36.75" hidden="1" customHeight="1" x14ac:dyDescent="0.3">
      <c r="B19" s="19" t="s">
        <v>63</v>
      </c>
      <c r="C19" s="19" t="s">
        <v>49</v>
      </c>
      <c r="D19" s="21"/>
      <c r="E19" s="21"/>
      <c r="F19" s="21"/>
      <c r="G19" s="22" t="e">
        <f>H19+L19+N19+Q19+S19+U19+W19+Y19+AA19+AC19+AE19+AG19+AI19</f>
        <v>#DIV/0!</v>
      </c>
      <c r="H19" s="22">
        <v>0</v>
      </c>
      <c r="I19" s="22">
        <v>0</v>
      </c>
      <c r="J19" s="22" t="e">
        <f>L19+N19+Q19</f>
        <v>#DIV/0!</v>
      </c>
      <c r="K19" s="22"/>
      <c r="L19" s="22"/>
      <c r="M19" s="22"/>
      <c r="N19" s="22" t="e">
        <f t="shared" si="2"/>
        <v>#DIV/0!</v>
      </c>
      <c r="O19" s="22">
        <f t="shared" si="1"/>
        <v>0</v>
      </c>
      <c r="P19" s="22" t="e">
        <f t="shared" si="3"/>
        <v>#DIV/0!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56"/>
    </row>
    <row r="20" spans="2:39" ht="39" hidden="1" customHeight="1" x14ac:dyDescent="0.3">
      <c r="B20" s="19" t="s">
        <v>63</v>
      </c>
      <c r="C20" s="19" t="s">
        <v>68</v>
      </c>
      <c r="D20" s="21">
        <v>0</v>
      </c>
      <c r="E20" s="21">
        <v>0</v>
      </c>
      <c r="F20" s="21"/>
      <c r="G20" s="22" t="e">
        <f>H20+L20+N20+Q20+S20+U20+W20+Y20+AA20+AC20+AE20+AG20+AI20</f>
        <v>#DIV/0!</v>
      </c>
      <c r="H20" s="22">
        <v>0</v>
      </c>
      <c r="I20" s="22">
        <v>0</v>
      </c>
      <c r="J20" s="22" t="e">
        <f>L20+N20+Q20</f>
        <v>#DIV/0!</v>
      </c>
      <c r="K20" s="22"/>
      <c r="L20" s="22"/>
      <c r="M20" s="22"/>
      <c r="N20" s="22" t="e">
        <f t="shared" si="2"/>
        <v>#DIV/0!</v>
      </c>
      <c r="O20" s="22">
        <f t="shared" si="1"/>
        <v>0</v>
      </c>
      <c r="P20" s="22" t="e">
        <f t="shared" si="3"/>
        <v>#DIV/0!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56"/>
    </row>
    <row r="21" spans="2:39" ht="40.5" customHeight="1" x14ac:dyDescent="0.25">
      <c r="B21" s="23" t="s">
        <v>14</v>
      </c>
      <c r="C21" s="19" t="s">
        <v>127</v>
      </c>
      <c r="D21" s="21"/>
      <c r="E21" s="21"/>
      <c r="F21" s="21"/>
      <c r="G21" s="22">
        <v>0</v>
      </c>
      <c r="H21" s="22">
        <v>0</v>
      </c>
      <c r="I21" s="22">
        <v>2316.6</v>
      </c>
      <c r="J21" s="22">
        <v>0</v>
      </c>
      <c r="K21" s="22">
        <v>324.2</v>
      </c>
      <c r="L21" s="22">
        <v>0</v>
      </c>
      <c r="M21" s="22">
        <v>296.60000000000002</v>
      </c>
      <c r="N21" s="22">
        <v>0</v>
      </c>
      <c r="O21" s="22">
        <f t="shared" si="1"/>
        <v>2316.6</v>
      </c>
      <c r="P21" s="22"/>
      <c r="Q21" s="22">
        <v>0</v>
      </c>
      <c r="R21" s="22"/>
      <c r="S21" s="22">
        <v>0</v>
      </c>
      <c r="T21" s="22"/>
      <c r="U21" s="22">
        <v>0</v>
      </c>
      <c r="V21" s="22"/>
      <c r="W21" s="22">
        <v>0</v>
      </c>
      <c r="X21" s="22"/>
      <c r="Y21" s="22">
        <v>0</v>
      </c>
      <c r="Z21" s="22"/>
      <c r="AA21" s="22">
        <v>0</v>
      </c>
      <c r="AB21" s="22"/>
      <c r="AC21" s="22">
        <v>0</v>
      </c>
      <c r="AD21" s="22"/>
      <c r="AE21" s="22">
        <v>0</v>
      </c>
      <c r="AF21" s="22"/>
      <c r="AG21" s="22">
        <v>0</v>
      </c>
      <c r="AH21" s="22"/>
      <c r="AI21" s="58" t="s">
        <v>128</v>
      </c>
    </row>
    <row r="22" spans="2:39" ht="33" customHeight="1" x14ac:dyDescent="0.3">
      <c r="B22" s="23" t="s">
        <v>15</v>
      </c>
      <c r="C22" s="19" t="s">
        <v>100</v>
      </c>
      <c r="D22" s="21"/>
      <c r="E22" s="21"/>
      <c r="F22" s="21"/>
      <c r="G22" s="22">
        <v>177.9</v>
      </c>
      <c r="H22" s="22">
        <v>177.9</v>
      </c>
      <c r="I22" s="22">
        <v>418.1</v>
      </c>
      <c r="J22" s="22">
        <v>8.8000000000000007</v>
      </c>
      <c r="K22" s="22">
        <v>0</v>
      </c>
      <c r="L22" s="22">
        <v>10.5</v>
      </c>
      <c r="M22" s="22">
        <v>4.4000000000000004</v>
      </c>
      <c r="N22" s="22">
        <f t="shared" si="2"/>
        <v>235</v>
      </c>
      <c r="O22" s="22">
        <f t="shared" si="1"/>
        <v>240.2</v>
      </c>
      <c r="P22" s="18">
        <f>I22/H22</f>
        <v>2.4</v>
      </c>
      <c r="Q22" s="22">
        <v>15.3</v>
      </c>
      <c r="R22" s="22"/>
      <c r="S22" s="22">
        <v>13.5</v>
      </c>
      <c r="T22" s="22"/>
      <c r="U22" s="22">
        <v>18</v>
      </c>
      <c r="V22" s="22"/>
      <c r="W22" s="22">
        <v>18.2</v>
      </c>
      <c r="X22" s="22"/>
      <c r="Y22" s="22">
        <v>18.2</v>
      </c>
      <c r="Z22" s="22"/>
      <c r="AA22" s="22">
        <v>14.2</v>
      </c>
      <c r="AB22" s="22"/>
      <c r="AC22" s="22">
        <v>16.3</v>
      </c>
      <c r="AD22" s="22"/>
      <c r="AE22" s="22">
        <v>16.5</v>
      </c>
      <c r="AF22" s="22"/>
      <c r="AG22" s="22">
        <v>16.5</v>
      </c>
      <c r="AH22" s="22"/>
      <c r="AI22" s="60" t="s">
        <v>129</v>
      </c>
    </row>
    <row r="23" spans="2:39" ht="39" customHeight="1" x14ac:dyDescent="0.3">
      <c r="B23" s="19" t="s">
        <v>63</v>
      </c>
      <c r="C23" s="19" t="s">
        <v>64</v>
      </c>
      <c r="D23" s="21">
        <v>867.2</v>
      </c>
      <c r="E23" s="21">
        <v>433.5</v>
      </c>
      <c r="F23" s="21">
        <v>828.2</v>
      </c>
      <c r="G23" s="22">
        <v>1244.4000000000001</v>
      </c>
      <c r="H23" s="22">
        <v>1244.4000000000001</v>
      </c>
      <c r="I23" s="22">
        <v>1200.5999999999999</v>
      </c>
      <c r="J23" s="22">
        <v>113.7</v>
      </c>
      <c r="K23" s="22">
        <v>98.7</v>
      </c>
      <c r="L23" s="22">
        <v>113.7</v>
      </c>
      <c r="M23" s="22">
        <v>98.7</v>
      </c>
      <c r="N23" s="22">
        <f t="shared" si="2"/>
        <v>96.5</v>
      </c>
      <c r="O23" s="22">
        <f t="shared" si="1"/>
        <v>-43.8</v>
      </c>
      <c r="P23" s="22">
        <f t="shared" si="3"/>
        <v>1</v>
      </c>
      <c r="Q23" s="22">
        <v>113.7</v>
      </c>
      <c r="R23" s="22"/>
      <c r="S23" s="22">
        <v>113.7</v>
      </c>
      <c r="T23" s="22"/>
      <c r="U23" s="22">
        <v>113.7</v>
      </c>
      <c r="V23" s="22"/>
      <c r="W23" s="22">
        <v>113.7</v>
      </c>
      <c r="X23" s="22"/>
      <c r="Y23" s="22">
        <v>113.7</v>
      </c>
      <c r="Z23" s="22"/>
      <c r="AA23" s="22">
        <v>113.7</v>
      </c>
      <c r="AB23" s="22"/>
      <c r="AC23" s="22">
        <v>113.7</v>
      </c>
      <c r="AD23" s="22"/>
      <c r="AE23" s="22">
        <v>113.7</v>
      </c>
      <c r="AF23" s="22"/>
      <c r="AG23" s="22">
        <v>113.7</v>
      </c>
      <c r="AH23" s="22"/>
      <c r="AI23" s="60" t="s">
        <v>131</v>
      </c>
    </row>
    <row r="24" spans="2:39" ht="23.25" customHeight="1" x14ac:dyDescent="0.3">
      <c r="B24" s="19" t="s">
        <v>87</v>
      </c>
      <c r="C24" s="19" t="s">
        <v>75</v>
      </c>
      <c r="D24" s="21"/>
      <c r="E24" s="21"/>
      <c r="F24" s="21"/>
      <c r="G24" s="22">
        <v>7.2</v>
      </c>
      <c r="H24" s="22">
        <v>7.2</v>
      </c>
      <c r="I24" s="22">
        <v>2.1</v>
      </c>
      <c r="J24" s="22">
        <v>0.6</v>
      </c>
      <c r="K24" s="22">
        <v>0.2</v>
      </c>
      <c r="L24" s="22">
        <v>0.6</v>
      </c>
      <c r="M24" s="22">
        <v>0.4</v>
      </c>
      <c r="N24" s="22">
        <f t="shared" si="2"/>
        <v>29.2</v>
      </c>
      <c r="O24" s="22">
        <f t="shared" si="1"/>
        <v>-5.0999999999999996</v>
      </c>
      <c r="P24" s="22">
        <f t="shared" si="3"/>
        <v>0.3</v>
      </c>
      <c r="Q24" s="22">
        <v>0.6</v>
      </c>
      <c r="R24" s="22"/>
      <c r="S24" s="22">
        <v>0.6</v>
      </c>
      <c r="T24" s="22"/>
      <c r="U24" s="22">
        <v>0.6</v>
      </c>
      <c r="V24" s="22"/>
      <c r="W24" s="22">
        <v>0.6</v>
      </c>
      <c r="X24" s="22"/>
      <c r="Y24" s="22">
        <v>0.6</v>
      </c>
      <c r="Z24" s="22"/>
      <c r="AA24" s="22">
        <v>0.6</v>
      </c>
      <c r="AB24" s="22"/>
      <c r="AC24" s="22">
        <v>0.6</v>
      </c>
      <c r="AD24" s="22"/>
      <c r="AE24" s="22">
        <v>0.6</v>
      </c>
      <c r="AF24" s="22"/>
      <c r="AG24" s="22">
        <v>0.6</v>
      </c>
      <c r="AH24" s="22"/>
      <c r="AI24" s="60" t="s">
        <v>132</v>
      </c>
    </row>
    <row r="25" spans="2:39" ht="36.75" customHeight="1" x14ac:dyDescent="0.3">
      <c r="B25" s="19" t="s">
        <v>120</v>
      </c>
      <c r="C25" s="19" t="s">
        <v>119</v>
      </c>
      <c r="D25" s="21">
        <v>9.6999999999999993</v>
      </c>
      <c r="E25" s="21">
        <v>0</v>
      </c>
      <c r="F25" s="21">
        <v>36.1</v>
      </c>
      <c r="G25" s="22">
        <v>0</v>
      </c>
      <c r="H25" s="22">
        <v>0</v>
      </c>
      <c r="I25" s="22">
        <v>14.8</v>
      </c>
      <c r="J25" s="22">
        <v>0</v>
      </c>
      <c r="K25" s="22">
        <v>0</v>
      </c>
      <c r="L25" s="22">
        <v>0</v>
      </c>
      <c r="M25" s="22"/>
      <c r="N25" s="22">
        <v>0</v>
      </c>
      <c r="O25" s="22">
        <f t="shared" si="1"/>
        <v>14.8</v>
      </c>
      <c r="P25" s="22"/>
      <c r="Q25" s="22">
        <v>0</v>
      </c>
      <c r="R25" s="22"/>
      <c r="S25" s="22">
        <v>0</v>
      </c>
      <c r="T25" s="22"/>
      <c r="U25" s="22">
        <v>0</v>
      </c>
      <c r="V25" s="22"/>
      <c r="W25" s="22">
        <v>0</v>
      </c>
      <c r="X25" s="22"/>
      <c r="Y25" s="22">
        <v>0</v>
      </c>
      <c r="Z25" s="22"/>
      <c r="AA25" s="22">
        <v>0</v>
      </c>
      <c r="AB25" s="22"/>
      <c r="AC25" s="22">
        <v>0</v>
      </c>
      <c r="AD25" s="22"/>
      <c r="AE25" s="22">
        <v>0</v>
      </c>
      <c r="AF25" s="22"/>
      <c r="AG25" s="22">
        <v>0</v>
      </c>
      <c r="AH25" s="22"/>
      <c r="AI25" s="60" t="s">
        <v>130</v>
      </c>
    </row>
    <row r="26" spans="2:39" ht="83.25" hidden="1" customHeight="1" x14ac:dyDescent="0.3">
      <c r="B26" s="19"/>
      <c r="C26" s="19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 t="e">
        <f>M26/L26*100</f>
        <v>#DIV/0!</v>
      </c>
      <c r="O26" s="22"/>
      <c r="P26" s="22" t="e">
        <f t="shared" si="3"/>
        <v>#DIV/0!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56"/>
    </row>
    <row r="27" spans="2:39" s="62" customFormat="1" x14ac:dyDescent="0.3">
      <c r="B27" s="17">
        <v>2</v>
      </c>
      <c r="C27" s="17" t="s">
        <v>16</v>
      </c>
      <c r="D27" s="26">
        <f>D28+D29+D30+D32+D37+D41+D45+D46+D47+D48+D59+60:60</f>
        <v>18495.7</v>
      </c>
      <c r="E27" s="26">
        <f>E28+E29+E30+E32+E37+E41+E45+E46+E47+E48+E59+60:60</f>
        <v>8292.7000000000007</v>
      </c>
      <c r="F27" s="26">
        <f>F28+F29+F32+F37+F41+F45++F46+F47+F48+F59+F60</f>
        <v>16799.7</v>
      </c>
      <c r="G27" s="26">
        <f>G28+G29+G32+G37+G41+G45+G46+G47+G48+G58+G59</f>
        <v>29603.599999999999</v>
      </c>
      <c r="H27" s="26">
        <f>H28+H29+H32+H37+H41+H45+H46+H47+H48+H58+H59</f>
        <v>29603.599999999999</v>
      </c>
      <c r="I27" s="26">
        <f>I28+I29+I32+I37+I41+I45+I46+I47+I48+I58+I59</f>
        <v>31764.5</v>
      </c>
      <c r="J27" s="26">
        <f>J28+J29+J32+J37+J41+J45+J46+J47+J48+J59+J58</f>
        <v>2567</v>
      </c>
      <c r="K27" s="26">
        <f>K28+K29+K32+K37+K41+K45+K46+K47+K48+K59+K58</f>
        <v>2614.5</v>
      </c>
      <c r="L27" s="26">
        <f>L28+L29+L32+L37+L41+L45+L46+L47+L48+L59+L58</f>
        <v>2305.9</v>
      </c>
      <c r="M27" s="26">
        <f>M28+M29+M32+M37+M41+M45+M46+M47+M48+M59+M58</f>
        <v>2644.5</v>
      </c>
      <c r="N27" s="26">
        <f t="shared" ref="N27:N60" si="6">I27/H27*100</f>
        <v>107.3</v>
      </c>
      <c r="O27" s="26">
        <f t="shared" ref="O27:O61" si="7">I27-H27</f>
        <v>2160.9</v>
      </c>
      <c r="P27" s="26">
        <f t="shared" si="3"/>
        <v>1.1000000000000001</v>
      </c>
      <c r="Q27" s="26">
        <f t="shared" ref="Q27:AH27" si="8">Q28+Q29+Q32+Q37+Q41+Q45+Q46+Q47+Q48+Q59+Q58</f>
        <v>2525.1999999999998</v>
      </c>
      <c r="R27" s="26">
        <f t="shared" si="8"/>
        <v>0</v>
      </c>
      <c r="S27" s="26">
        <f t="shared" si="8"/>
        <v>2287</v>
      </c>
      <c r="T27" s="26">
        <f t="shared" si="8"/>
        <v>0</v>
      </c>
      <c r="U27" s="26">
        <f t="shared" si="8"/>
        <v>2308.9</v>
      </c>
      <c r="V27" s="26">
        <f t="shared" si="8"/>
        <v>0</v>
      </c>
      <c r="W27" s="26">
        <f t="shared" si="8"/>
        <v>2527.9</v>
      </c>
      <c r="X27" s="26">
        <f t="shared" si="8"/>
        <v>0</v>
      </c>
      <c r="Y27" s="26">
        <f t="shared" si="8"/>
        <v>2291.6999999999998</v>
      </c>
      <c r="Z27" s="26">
        <f t="shared" si="8"/>
        <v>0</v>
      </c>
      <c r="AA27" s="26">
        <f t="shared" si="8"/>
        <v>2287.6999999999998</v>
      </c>
      <c r="AB27" s="26">
        <f t="shared" si="8"/>
        <v>0</v>
      </c>
      <c r="AC27" s="26">
        <f t="shared" si="8"/>
        <v>2577.8000000000002</v>
      </c>
      <c r="AD27" s="26">
        <f t="shared" si="8"/>
        <v>0</v>
      </c>
      <c r="AE27" s="26">
        <f t="shared" si="8"/>
        <v>2311.9</v>
      </c>
      <c r="AF27" s="26">
        <f t="shared" si="8"/>
        <v>0</v>
      </c>
      <c r="AG27" s="26">
        <f t="shared" si="8"/>
        <v>2311.9</v>
      </c>
      <c r="AH27" s="26">
        <f t="shared" si="8"/>
        <v>0</v>
      </c>
      <c r="AI27" s="61"/>
    </row>
    <row r="28" spans="2:39" ht="26.25" customHeight="1" x14ac:dyDescent="0.3">
      <c r="B28" s="27" t="s">
        <v>17</v>
      </c>
      <c r="C28" s="19" t="s">
        <v>18</v>
      </c>
      <c r="D28" s="28">
        <v>12530.2</v>
      </c>
      <c r="E28" s="28">
        <v>4336.3</v>
      </c>
      <c r="F28" s="28">
        <v>11297.5</v>
      </c>
      <c r="G28" s="29">
        <v>19655.599999999999</v>
      </c>
      <c r="H28" s="29">
        <v>19655.599999999999</v>
      </c>
      <c r="I28" s="29">
        <v>19648.7</v>
      </c>
      <c r="J28" s="29">
        <v>1539.8</v>
      </c>
      <c r="K28" s="29">
        <v>1489.8</v>
      </c>
      <c r="L28" s="29">
        <v>1536.6</v>
      </c>
      <c r="M28" s="29">
        <v>1461.1</v>
      </c>
      <c r="N28" s="29">
        <f t="shared" si="6"/>
        <v>100</v>
      </c>
      <c r="O28" s="29">
        <f t="shared" si="7"/>
        <v>-6.9</v>
      </c>
      <c r="P28" s="29">
        <f t="shared" si="3"/>
        <v>1</v>
      </c>
      <c r="Q28" s="29">
        <v>1576.3</v>
      </c>
      <c r="R28" s="29"/>
      <c r="S28" s="29">
        <v>1577.1</v>
      </c>
      <c r="T28" s="29"/>
      <c r="U28" s="29">
        <v>1579.2</v>
      </c>
      <c r="V28" s="29"/>
      <c r="W28" s="29">
        <v>1583.8</v>
      </c>
      <c r="X28" s="29"/>
      <c r="Y28" s="29">
        <v>1583.8</v>
      </c>
      <c r="Z28" s="29"/>
      <c r="AA28" s="29">
        <v>1583</v>
      </c>
      <c r="AB28" s="29"/>
      <c r="AC28" s="29">
        <v>1582.9</v>
      </c>
      <c r="AD28" s="29"/>
      <c r="AE28" s="29">
        <v>1584.7</v>
      </c>
      <c r="AF28" s="29"/>
      <c r="AG28" s="29">
        <v>1587.4</v>
      </c>
      <c r="AH28" s="29"/>
      <c r="AI28" s="60"/>
    </row>
    <row r="29" spans="2:39" ht="43.5" customHeight="1" x14ac:dyDescent="0.3">
      <c r="B29" s="27" t="s">
        <v>19</v>
      </c>
      <c r="C29" s="19" t="s">
        <v>20</v>
      </c>
      <c r="D29" s="28">
        <v>2777</v>
      </c>
      <c r="E29" s="28">
        <v>959.3</v>
      </c>
      <c r="F29" s="28">
        <v>2499.8000000000002</v>
      </c>
      <c r="G29" s="29">
        <v>4324.3999999999996</v>
      </c>
      <c r="H29" s="29">
        <v>4324.3999999999996</v>
      </c>
      <c r="I29" s="29">
        <v>4214.8</v>
      </c>
      <c r="J29" s="29">
        <f>J28*0.22-0.1</f>
        <v>338.7</v>
      </c>
      <c r="K29" s="29">
        <v>338.7</v>
      </c>
      <c r="L29" s="29">
        <f t="shared" ref="L29:S29" si="9">L28*0.22</f>
        <v>338.1</v>
      </c>
      <c r="M29" s="29">
        <f>315.3+6.267</f>
        <v>321.60000000000002</v>
      </c>
      <c r="N29" s="29">
        <f t="shared" si="6"/>
        <v>97.5</v>
      </c>
      <c r="O29" s="29">
        <f t="shared" si="7"/>
        <v>-109.6</v>
      </c>
      <c r="P29" s="29">
        <f t="shared" si="3"/>
        <v>1</v>
      </c>
      <c r="Q29" s="29">
        <f t="shared" si="9"/>
        <v>346.8</v>
      </c>
      <c r="R29" s="29"/>
      <c r="S29" s="29">
        <f t="shared" si="9"/>
        <v>347</v>
      </c>
      <c r="T29" s="29"/>
      <c r="U29" s="29">
        <f>U28*0.22</f>
        <v>347.4</v>
      </c>
      <c r="V29" s="29"/>
      <c r="W29" s="29">
        <f>W28*0.22</f>
        <v>348.4</v>
      </c>
      <c r="X29" s="29"/>
      <c r="Y29" s="29">
        <f>Y28*0.22-0.01</f>
        <v>348.4</v>
      </c>
      <c r="Z29" s="29"/>
      <c r="AA29" s="29">
        <f>AA28*0.22</f>
        <v>348.3</v>
      </c>
      <c r="AB29" s="29"/>
      <c r="AC29" s="29">
        <f>AC28*0.22</f>
        <v>348.2</v>
      </c>
      <c r="AD29" s="29"/>
      <c r="AE29" s="29">
        <f>AE28*0.22</f>
        <v>348.6</v>
      </c>
      <c r="AF29" s="29"/>
      <c r="AG29" s="29">
        <f>AG28*0.22</f>
        <v>349.2</v>
      </c>
      <c r="AH29" s="29"/>
      <c r="AI29" s="60" t="s">
        <v>139</v>
      </c>
    </row>
    <row r="30" spans="2:39" hidden="1" x14ac:dyDescent="0.3">
      <c r="B30" s="30" t="s">
        <v>21</v>
      </c>
      <c r="C30" s="19" t="s">
        <v>50</v>
      </c>
      <c r="D30" s="28">
        <f>D31</f>
        <v>0</v>
      </c>
      <c r="E30" s="29">
        <f>E31</f>
        <v>0</v>
      </c>
      <c r="F30" s="29"/>
      <c r="G30" s="29" t="e">
        <f>H30+L30+N30+Q30+S30+U30+W30+Y30+AA30+AC30+AE30+AG30+AI30</f>
        <v>#DIV/0!</v>
      </c>
      <c r="H30" s="29">
        <f t="shared" ref="H30:AG30" si="10">H31</f>
        <v>0</v>
      </c>
      <c r="I30" s="29"/>
      <c r="J30" s="29">
        <f t="shared" si="10"/>
        <v>0</v>
      </c>
      <c r="K30" s="29"/>
      <c r="L30" s="29">
        <f t="shared" si="10"/>
        <v>0</v>
      </c>
      <c r="M30" s="29"/>
      <c r="N30" s="29" t="e">
        <f t="shared" si="6"/>
        <v>#DIV/0!</v>
      </c>
      <c r="O30" s="29">
        <f t="shared" si="7"/>
        <v>0</v>
      </c>
      <c r="P30" s="29" t="e">
        <f t="shared" si="3"/>
        <v>#DIV/0!</v>
      </c>
      <c r="Q30" s="29">
        <f t="shared" si="10"/>
        <v>0</v>
      </c>
      <c r="R30" s="29"/>
      <c r="S30" s="29">
        <f t="shared" si="10"/>
        <v>0</v>
      </c>
      <c r="T30" s="29"/>
      <c r="U30" s="29">
        <f t="shared" si="10"/>
        <v>0</v>
      </c>
      <c r="V30" s="29"/>
      <c r="W30" s="29">
        <f t="shared" si="10"/>
        <v>0</v>
      </c>
      <c r="X30" s="29"/>
      <c r="Y30" s="29">
        <f t="shared" si="10"/>
        <v>0</v>
      </c>
      <c r="Z30" s="29"/>
      <c r="AA30" s="29">
        <f t="shared" si="10"/>
        <v>0</v>
      </c>
      <c r="AB30" s="29"/>
      <c r="AC30" s="29">
        <f t="shared" si="10"/>
        <v>0</v>
      </c>
      <c r="AD30" s="29"/>
      <c r="AE30" s="29">
        <f t="shared" si="10"/>
        <v>0</v>
      </c>
      <c r="AF30" s="29"/>
      <c r="AG30" s="29">
        <f t="shared" si="10"/>
        <v>0</v>
      </c>
      <c r="AH30" s="29"/>
      <c r="AI30" s="60"/>
    </row>
    <row r="31" spans="2:39" ht="22.5" hidden="1" customHeight="1" x14ac:dyDescent="0.3">
      <c r="B31" s="30" t="s">
        <v>23</v>
      </c>
      <c r="C31" s="19" t="s">
        <v>61</v>
      </c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29" t="e">
        <f t="shared" si="6"/>
        <v>#DIV/0!</v>
      </c>
      <c r="O31" s="29">
        <f t="shared" si="7"/>
        <v>0</v>
      </c>
      <c r="P31" s="29" t="e">
        <f t="shared" si="3"/>
        <v>#DIV/0!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60"/>
    </row>
    <row r="32" spans="2:39" s="64" customFormat="1" ht="21.75" customHeight="1" x14ac:dyDescent="0.3">
      <c r="B32" s="31" t="s">
        <v>21</v>
      </c>
      <c r="C32" s="17" t="s">
        <v>22</v>
      </c>
      <c r="D32" s="32">
        <f>D33+D34+D36</f>
        <v>433.2</v>
      </c>
      <c r="E32" s="32">
        <f>E33+E34+E36</f>
        <v>752.8</v>
      </c>
      <c r="F32" s="32">
        <f>F33+F34+F36</f>
        <v>359.5</v>
      </c>
      <c r="G32" s="26">
        <f>SUM(G33:G36)</f>
        <v>420</v>
      </c>
      <c r="H32" s="26">
        <f>SUM(H33:H36)</f>
        <v>420</v>
      </c>
      <c r="I32" s="26">
        <f>I33+I34+I35+I36</f>
        <v>3412.7</v>
      </c>
      <c r="J32" s="26">
        <f>J33+J34+J36+J35</f>
        <v>38.1</v>
      </c>
      <c r="K32" s="26">
        <f t="shared" ref="K32:AH32" si="11">K33+K34+K36+K35</f>
        <v>421.1</v>
      </c>
      <c r="L32" s="26">
        <f t="shared" si="11"/>
        <v>38.1</v>
      </c>
      <c r="M32" s="26">
        <f t="shared" si="11"/>
        <v>374.5</v>
      </c>
      <c r="N32" s="26">
        <f t="shared" si="6"/>
        <v>812.5</v>
      </c>
      <c r="O32" s="26">
        <f t="shared" si="7"/>
        <v>2992.7</v>
      </c>
      <c r="P32" s="26">
        <f t="shared" si="3"/>
        <v>8.1</v>
      </c>
      <c r="Q32" s="26">
        <f t="shared" si="11"/>
        <v>34.299999999999997</v>
      </c>
      <c r="R32" s="26">
        <f t="shared" si="11"/>
        <v>0</v>
      </c>
      <c r="S32" s="26">
        <f t="shared" si="11"/>
        <v>34.299999999999997</v>
      </c>
      <c r="T32" s="26">
        <f t="shared" si="11"/>
        <v>0</v>
      </c>
      <c r="U32" s="26">
        <f t="shared" si="11"/>
        <v>34.299999999999997</v>
      </c>
      <c r="V32" s="26">
        <f t="shared" si="11"/>
        <v>0</v>
      </c>
      <c r="W32" s="26">
        <f t="shared" si="11"/>
        <v>34.299999999999997</v>
      </c>
      <c r="X32" s="26">
        <f t="shared" si="11"/>
        <v>0</v>
      </c>
      <c r="Y32" s="26">
        <f t="shared" si="11"/>
        <v>34.299999999999997</v>
      </c>
      <c r="Z32" s="26">
        <f t="shared" si="11"/>
        <v>0</v>
      </c>
      <c r="AA32" s="26">
        <f t="shared" si="11"/>
        <v>34.299999999999997</v>
      </c>
      <c r="AB32" s="26">
        <f t="shared" si="11"/>
        <v>0</v>
      </c>
      <c r="AC32" s="26">
        <f t="shared" si="11"/>
        <v>34.299999999999997</v>
      </c>
      <c r="AD32" s="26">
        <f t="shared" si="11"/>
        <v>0</v>
      </c>
      <c r="AE32" s="26">
        <f t="shared" si="11"/>
        <v>33.299999999999997</v>
      </c>
      <c r="AF32" s="26">
        <f t="shared" si="11"/>
        <v>0</v>
      </c>
      <c r="AG32" s="26">
        <f t="shared" si="11"/>
        <v>32.299999999999997</v>
      </c>
      <c r="AH32" s="26">
        <f t="shared" si="11"/>
        <v>0</v>
      </c>
      <c r="AI32" s="63"/>
      <c r="AJ32" s="62"/>
      <c r="AK32" s="62"/>
      <c r="AL32" s="62"/>
      <c r="AM32" s="62"/>
    </row>
    <row r="33" spans="2:39" s="3" customFormat="1" ht="41.25" customHeight="1" x14ac:dyDescent="0.3">
      <c r="B33" s="33" t="s">
        <v>23</v>
      </c>
      <c r="C33" s="20" t="s">
        <v>133</v>
      </c>
      <c r="D33" s="28">
        <v>286.89999999999998</v>
      </c>
      <c r="E33" s="28">
        <v>490.3</v>
      </c>
      <c r="F33" s="28">
        <v>189.1</v>
      </c>
      <c r="G33" s="29">
        <v>204</v>
      </c>
      <c r="H33" s="29">
        <v>204</v>
      </c>
      <c r="I33" s="29">
        <v>3140.2</v>
      </c>
      <c r="J33" s="29">
        <v>17</v>
      </c>
      <c r="K33" s="29">
        <v>410.4</v>
      </c>
      <c r="L33" s="29">
        <v>17</v>
      </c>
      <c r="M33" s="29">
        <f>296.5+2.64+58.016</f>
        <v>357.2</v>
      </c>
      <c r="N33" s="29">
        <f t="shared" si="6"/>
        <v>1539.3</v>
      </c>
      <c r="O33" s="29">
        <f t="shared" si="7"/>
        <v>2936.2</v>
      </c>
      <c r="P33" s="26">
        <f t="shared" si="3"/>
        <v>15.4</v>
      </c>
      <c r="Q33" s="29">
        <v>17</v>
      </c>
      <c r="R33" s="29"/>
      <c r="S33" s="29">
        <v>17</v>
      </c>
      <c r="T33" s="29"/>
      <c r="U33" s="29">
        <v>17</v>
      </c>
      <c r="V33" s="29"/>
      <c r="W33" s="29">
        <v>17</v>
      </c>
      <c r="X33" s="29"/>
      <c r="Y33" s="29">
        <v>17</v>
      </c>
      <c r="Z33" s="29"/>
      <c r="AA33" s="29">
        <v>17</v>
      </c>
      <c r="AB33" s="29"/>
      <c r="AC33" s="29">
        <v>17</v>
      </c>
      <c r="AD33" s="29"/>
      <c r="AE33" s="29">
        <v>17</v>
      </c>
      <c r="AF33" s="29"/>
      <c r="AG33" s="29">
        <v>17</v>
      </c>
      <c r="AH33" s="29"/>
      <c r="AI33" s="65" t="s">
        <v>141</v>
      </c>
      <c r="AJ33" s="1"/>
      <c r="AK33" s="1"/>
      <c r="AL33" s="1"/>
      <c r="AM33" s="1"/>
    </row>
    <row r="34" spans="2:39" s="3" customFormat="1" ht="18" customHeight="1" x14ac:dyDescent="0.3">
      <c r="B34" s="33" t="s">
        <v>101</v>
      </c>
      <c r="C34" s="19" t="s">
        <v>69</v>
      </c>
      <c r="D34" s="28">
        <v>33.299999999999997</v>
      </c>
      <c r="E34" s="28">
        <f>47.72+70.52</f>
        <v>118.2</v>
      </c>
      <c r="F34" s="28">
        <v>50.8</v>
      </c>
      <c r="G34" s="29">
        <v>84</v>
      </c>
      <c r="H34" s="29">
        <v>84</v>
      </c>
      <c r="I34" s="29">
        <v>101.5</v>
      </c>
      <c r="J34" s="29">
        <v>7</v>
      </c>
      <c r="K34" s="29">
        <v>6.6</v>
      </c>
      <c r="L34" s="29">
        <v>7</v>
      </c>
      <c r="M34" s="29">
        <v>5.8</v>
      </c>
      <c r="N34" s="29">
        <f t="shared" si="6"/>
        <v>120.8</v>
      </c>
      <c r="O34" s="29">
        <f t="shared" si="7"/>
        <v>17.5</v>
      </c>
      <c r="P34" s="26">
        <f t="shared" si="3"/>
        <v>1.2</v>
      </c>
      <c r="Q34" s="29">
        <v>7</v>
      </c>
      <c r="R34" s="29"/>
      <c r="S34" s="29">
        <v>7</v>
      </c>
      <c r="T34" s="29"/>
      <c r="U34" s="29">
        <v>7</v>
      </c>
      <c r="V34" s="29"/>
      <c r="W34" s="29">
        <v>7</v>
      </c>
      <c r="X34" s="29"/>
      <c r="Y34" s="29">
        <v>7</v>
      </c>
      <c r="Z34" s="29"/>
      <c r="AA34" s="29">
        <v>7</v>
      </c>
      <c r="AB34" s="29"/>
      <c r="AC34" s="29">
        <v>7</v>
      </c>
      <c r="AD34" s="29"/>
      <c r="AE34" s="29">
        <v>7</v>
      </c>
      <c r="AF34" s="29"/>
      <c r="AG34" s="29">
        <v>7</v>
      </c>
      <c r="AH34" s="29"/>
      <c r="AI34" s="65" t="s">
        <v>136</v>
      </c>
      <c r="AJ34" s="1"/>
      <c r="AK34" s="1"/>
      <c r="AL34" s="1"/>
      <c r="AM34" s="1"/>
    </row>
    <row r="35" spans="2:39" s="3" customFormat="1" ht="18" customHeight="1" x14ac:dyDescent="0.3">
      <c r="B35" s="33" t="s">
        <v>102</v>
      </c>
      <c r="C35" s="19" t="s">
        <v>91</v>
      </c>
      <c r="D35" s="28"/>
      <c r="E35" s="28"/>
      <c r="F35" s="28"/>
      <c r="G35" s="29">
        <v>61.2</v>
      </c>
      <c r="H35" s="29">
        <v>61.2</v>
      </c>
      <c r="I35" s="29">
        <v>53.6</v>
      </c>
      <c r="J35" s="29">
        <v>5.0999999999999996</v>
      </c>
      <c r="K35" s="29">
        <v>2.2000000000000002</v>
      </c>
      <c r="L35" s="29">
        <v>5.0999999999999996</v>
      </c>
      <c r="M35" s="29">
        <f>0.352+4.025</f>
        <v>4.4000000000000004</v>
      </c>
      <c r="N35" s="29">
        <f t="shared" si="6"/>
        <v>87.6</v>
      </c>
      <c r="O35" s="29">
        <f t="shared" si="7"/>
        <v>-7.6</v>
      </c>
      <c r="P35" s="29">
        <f t="shared" si="3"/>
        <v>0.9</v>
      </c>
      <c r="Q35" s="29">
        <v>5.0999999999999996</v>
      </c>
      <c r="R35" s="29"/>
      <c r="S35" s="29">
        <v>5.0999999999999996</v>
      </c>
      <c r="T35" s="29"/>
      <c r="U35" s="29">
        <v>5.0999999999999996</v>
      </c>
      <c r="V35" s="29"/>
      <c r="W35" s="29">
        <v>5.0999999999999996</v>
      </c>
      <c r="X35" s="29"/>
      <c r="Y35" s="29">
        <v>5.0999999999999996</v>
      </c>
      <c r="Z35" s="29"/>
      <c r="AA35" s="29">
        <v>5.0999999999999996</v>
      </c>
      <c r="AB35" s="29"/>
      <c r="AC35" s="29">
        <v>5.0999999999999996</v>
      </c>
      <c r="AD35" s="29"/>
      <c r="AE35" s="29">
        <v>5.0999999999999996</v>
      </c>
      <c r="AF35" s="29"/>
      <c r="AG35" s="29">
        <v>5.0999999999999996</v>
      </c>
      <c r="AH35" s="29"/>
      <c r="AI35" s="65" t="s">
        <v>134</v>
      </c>
      <c r="AJ35" s="1"/>
      <c r="AK35" s="1"/>
      <c r="AL35" s="1"/>
      <c r="AM35" s="1"/>
    </row>
    <row r="36" spans="2:39" s="3" customFormat="1" ht="23.25" customHeight="1" x14ac:dyDescent="0.3">
      <c r="B36" s="33" t="s">
        <v>103</v>
      </c>
      <c r="C36" s="19" t="s">
        <v>97</v>
      </c>
      <c r="D36" s="28">
        <v>113</v>
      </c>
      <c r="E36" s="28">
        <v>144.30000000000001</v>
      </c>
      <c r="F36" s="28">
        <v>119.6</v>
      </c>
      <c r="G36" s="29">
        <v>70.8</v>
      </c>
      <c r="H36" s="29">
        <v>70.8</v>
      </c>
      <c r="I36" s="29">
        <v>117.4</v>
      </c>
      <c r="J36" s="29">
        <v>9</v>
      </c>
      <c r="K36" s="29">
        <v>1.9</v>
      </c>
      <c r="L36" s="29">
        <v>9</v>
      </c>
      <c r="M36" s="29">
        <v>7.1</v>
      </c>
      <c r="N36" s="29">
        <f t="shared" si="6"/>
        <v>165.8</v>
      </c>
      <c r="O36" s="29">
        <f t="shared" si="7"/>
        <v>46.6</v>
      </c>
      <c r="P36" s="26">
        <f t="shared" si="3"/>
        <v>1.7</v>
      </c>
      <c r="Q36" s="29">
        <v>5.2</v>
      </c>
      <c r="R36" s="29"/>
      <c r="S36" s="29">
        <v>5.2</v>
      </c>
      <c r="T36" s="29"/>
      <c r="U36" s="29">
        <v>5.2</v>
      </c>
      <c r="V36" s="29"/>
      <c r="W36" s="29">
        <v>5.2</v>
      </c>
      <c r="X36" s="29"/>
      <c r="Y36" s="29">
        <v>5.2</v>
      </c>
      <c r="Z36" s="29"/>
      <c r="AA36" s="29">
        <v>5.2</v>
      </c>
      <c r="AB36" s="29"/>
      <c r="AC36" s="29">
        <v>5.2</v>
      </c>
      <c r="AD36" s="29"/>
      <c r="AE36" s="29">
        <v>4.2</v>
      </c>
      <c r="AF36" s="29"/>
      <c r="AG36" s="29">
        <v>3.2</v>
      </c>
      <c r="AH36" s="29"/>
      <c r="AI36" s="65" t="s">
        <v>135</v>
      </c>
      <c r="AJ36" s="1"/>
      <c r="AK36" s="1"/>
      <c r="AL36" s="1"/>
      <c r="AM36" s="1"/>
    </row>
    <row r="37" spans="2:39" s="64" customFormat="1" x14ac:dyDescent="0.3">
      <c r="B37" s="31" t="s">
        <v>24</v>
      </c>
      <c r="C37" s="17" t="s">
        <v>25</v>
      </c>
      <c r="D37" s="26">
        <v>959.5</v>
      </c>
      <c r="E37" s="26">
        <f>SUM(E38:E40)</f>
        <v>773.9</v>
      </c>
      <c r="F37" s="26">
        <f>F38+F39+F40</f>
        <v>915.7</v>
      </c>
      <c r="G37" s="26">
        <f>G38+G39+G40</f>
        <v>1418.4</v>
      </c>
      <c r="H37" s="26">
        <f>SUM(H38:H40)</f>
        <v>1418.4</v>
      </c>
      <c r="I37" s="26">
        <f>I38+I39+I40</f>
        <v>1330.6</v>
      </c>
      <c r="J37" s="26">
        <f>SUM(J38:J40)</f>
        <v>128.19999999999999</v>
      </c>
      <c r="K37" s="26">
        <f>K38+K39+K40</f>
        <v>104</v>
      </c>
      <c r="L37" s="26">
        <f>SUM(L38:L40)</f>
        <v>128.19999999999999</v>
      </c>
      <c r="M37" s="26">
        <f>M38+M39+M40</f>
        <v>104</v>
      </c>
      <c r="N37" s="26">
        <f t="shared" si="6"/>
        <v>93.8</v>
      </c>
      <c r="O37" s="26">
        <f t="shared" si="7"/>
        <v>-87.8</v>
      </c>
      <c r="P37" s="29">
        <f t="shared" si="3"/>
        <v>0.9</v>
      </c>
      <c r="Q37" s="26">
        <f>SUM(Q38:Q40)</f>
        <v>128.19999999999999</v>
      </c>
      <c r="R37" s="26">
        <f>R38+R39+R40</f>
        <v>0</v>
      </c>
      <c r="S37" s="26">
        <f>SUM(S38:S40)</f>
        <v>128.19999999999999</v>
      </c>
      <c r="T37" s="26">
        <f>T38+T39+T40</f>
        <v>0</v>
      </c>
      <c r="U37" s="26">
        <f>SUM(U38:U40)</f>
        <v>128.19999999999999</v>
      </c>
      <c r="V37" s="26">
        <f>V38+V39+V40</f>
        <v>0</v>
      </c>
      <c r="W37" s="26">
        <f>SUM(W38:W40)</f>
        <v>128.19999999999999</v>
      </c>
      <c r="X37" s="26">
        <f>X38+X39+X40</f>
        <v>0</v>
      </c>
      <c r="Y37" s="26">
        <f>SUM(Y38:Y40)</f>
        <v>128.19999999999999</v>
      </c>
      <c r="Z37" s="26">
        <f>Z38+Z39+Z40</f>
        <v>0</v>
      </c>
      <c r="AA37" s="26">
        <f>SUM(AA38:AA40)</f>
        <v>128.19999999999999</v>
      </c>
      <c r="AB37" s="26">
        <f>AB38+AB39+AB40</f>
        <v>0</v>
      </c>
      <c r="AC37" s="26">
        <f>SUM(AC38:AC40)</f>
        <v>128.19999999999999</v>
      </c>
      <c r="AD37" s="26">
        <f>AD38+AD39+AD40</f>
        <v>0</v>
      </c>
      <c r="AE37" s="26">
        <f>SUM(AE38:AE40)</f>
        <v>128.19999999999999</v>
      </c>
      <c r="AF37" s="26">
        <f>AF38+AF39+AF40</f>
        <v>0</v>
      </c>
      <c r="AG37" s="26">
        <f>SUM(AG38:AG40)</f>
        <v>128.19999999999999</v>
      </c>
      <c r="AH37" s="26">
        <f>AH38+AH39+AH40</f>
        <v>0</v>
      </c>
      <c r="AI37" s="66"/>
      <c r="AJ37" s="62"/>
      <c r="AK37" s="62"/>
      <c r="AL37" s="62"/>
      <c r="AM37" s="62"/>
    </row>
    <row r="38" spans="2:39" ht="26.25" customHeight="1" x14ac:dyDescent="0.25">
      <c r="B38" s="19" t="s">
        <v>26</v>
      </c>
      <c r="C38" s="19" t="s">
        <v>27</v>
      </c>
      <c r="D38" s="28">
        <v>867.2</v>
      </c>
      <c r="E38" s="28">
        <v>433.5</v>
      </c>
      <c r="F38" s="28">
        <v>828.2</v>
      </c>
      <c r="G38" s="29">
        <v>1244.4000000000001</v>
      </c>
      <c r="H38" s="29">
        <v>1244.4000000000001</v>
      </c>
      <c r="I38" s="29">
        <v>1187.2</v>
      </c>
      <c r="J38" s="29">
        <v>113.7</v>
      </c>
      <c r="K38" s="29">
        <v>98.7</v>
      </c>
      <c r="L38" s="29">
        <v>113.7</v>
      </c>
      <c r="M38" s="29">
        <v>98.7</v>
      </c>
      <c r="N38" s="29">
        <f t="shared" si="6"/>
        <v>95.4</v>
      </c>
      <c r="O38" s="29">
        <f t="shared" si="7"/>
        <v>-57.2</v>
      </c>
      <c r="P38" s="29">
        <f t="shared" si="3"/>
        <v>1</v>
      </c>
      <c r="Q38" s="29">
        <v>113.7</v>
      </c>
      <c r="R38" s="29"/>
      <c r="S38" s="29">
        <v>113.7</v>
      </c>
      <c r="T38" s="29"/>
      <c r="U38" s="29">
        <v>113.7</v>
      </c>
      <c r="V38" s="29"/>
      <c r="W38" s="29">
        <v>113.7</v>
      </c>
      <c r="X38" s="29"/>
      <c r="Y38" s="29">
        <v>113.7</v>
      </c>
      <c r="Z38" s="29"/>
      <c r="AA38" s="29">
        <v>113.7</v>
      </c>
      <c r="AB38" s="29"/>
      <c r="AC38" s="29">
        <v>113.7</v>
      </c>
      <c r="AD38" s="29">
        <v>0</v>
      </c>
      <c r="AE38" s="29">
        <v>113.7</v>
      </c>
      <c r="AF38" s="29"/>
      <c r="AG38" s="29">
        <v>113.7</v>
      </c>
      <c r="AH38" s="29"/>
      <c r="AI38" s="87" t="s">
        <v>138</v>
      </c>
    </row>
    <row r="39" spans="2:39" x14ac:dyDescent="0.25">
      <c r="B39" s="19" t="s">
        <v>28</v>
      </c>
      <c r="C39" s="19" t="s">
        <v>29</v>
      </c>
      <c r="D39" s="28">
        <v>49.1</v>
      </c>
      <c r="E39" s="28">
        <v>9.1999999999999993</v>
      </c>
      <c r="F39" s="28">
        <v>47.3</v>
      </c>
      <c r="G39" s="29">
        <v>96</v>
      </c>
      <c r="H39" s="29">
        <v>96</v>
      </c>
      <c r="I39" s="29">
        <v>79.8</v>
      </c>
      <c r="J39" s="29">
        <f>SUM(L39)</f>
        <v>8</v>
      </c>
      <c r="K39" s="29">
        <v>5.3</v>
      </c>
      <c r="L39" s="29">
        <v>8</v>
      </c>
      <c r="M39" s="29">
        <v>5.3</v>
      </c>
      <c r="N39" s="29">
        <f t="shared" si="6"/>
        <v>83.1</v>
      </c>
      <c r="O39" s="29">
        <f t="shared" si="7"/>
        <v>-16.2</v>
      </c>
      <c r="P39" s="29">
        <f t="shared" si="3"/>
        <v>0.8</v>
      </c>
      <c r="Q39" s="29">
        <v>8</v>
      </c>
      <c r="R39" s="29"/>
      <c r="S39" s="29">
        <v>8</v>
      </c>
      <c r="T39" s="29"/>
      <c r="U39" s="29">
        <v>8</v>
      </c>
      <c r="V39" s="29"/>
      <c r="W39" s="29">
        <v>8</v>
      </c>
      <c r="X39" s="29"/>
      <c r="Y39" s="29">
        <v>8</v>
      </c>
      <c r="Z39" s="29"/>
      <c r="AA39" s="29">
        <v>8</v>
      </c>
      <c r="AB39" s="29"/>
      <c r="AC39" s="29">
        <v>8</v>
      </c>
      <c r="AD39" s="29"/>
      <c r="AE39" s="29">
        <v>8</v>
      </c>
      <c r="AF39" s="29"/>
      <c r="AG39" s="29">
        <v>8</v>
      </c>
      <c r="AH39" s="29"/>
      <c r="AI39" s="88"/>
    </row>
    <row r="40" spans="2:39" ht="25.5" customHeight="1" x14ac:dyDescent="0.3">
      <c r="B40" s="19" t="s">
        <v>52</v>
      </c>
      <c r="C40" s="19" t="s">
        <v>71</v>
      </c>
      <c r="D40" s="28">
        <v>43.2</v>
      </c>
      <c r="E40" s="28">
        <v>331.2</v>
      </c>
      <c r="F40" s="28">
        <v>40.200000000000003</v>
      </c>
      <c r="G40" s="29">
        <v>78</v>
      </c>
      <c r="H40" s="29">
        <v>78</v>
      </c>
      <c r="I40" s="29">
        <v>63.6</v>
      </c>
      <c r="J40" s="29">
        <v>6.5</v>
      </c>
      <c r="K40" s="29">
        <v>0</v>
      </c>
      <c r="L40" s="29">
        <v>6.5</v>
      </c>
      <c r="M40" s="29">
        <v>0</v>
      </c>
      <c r="N40" s="29">
        <f t="shared" si="6"/>
        <v>81.5</v>
      </c>
      <c r="O40" s="29">
        <f t="shared" si="7"/>
        <v>-14.4</v>
      </c>
      <c r="P40" s="29">
        <f t="shared" si="3"/>
        <v>0.8</v>
      </c>
      <c r="Q40" s="29">
        <v>6.5</v>
      </c>
      <c r="R40" s="29"/>
      <c r="S40" s="29">
        <v>6.5</v>
      </c>
      <c r="T40" s="29"/>
      <c r="U40" s="29">
        <v>6.5</v>
      </c>
      <c r="V40" s="29"/>
      <c r="W40" s="29">
        <v>6.5</v>
      </c>
      <c r="X40" s="29"/>
      <c r="Y40" s="29">
        <v>6.5</v>
      </c>
      <c r="Z40" s="29"/>
      <c r="AA40" s="29">
        <v>6.5</v>
      </c>
      <c r="AB40" s="29"/>
      <c r="AC40" s="29">
        <v>6.5</v>
      </c>
      <c r="AD40" s="29"/>
      <c r="AE40" s="29">
        <v>6.5</v>
      </c>
      <c r="AF40" s="29"/>
      <c r="AG40" s="29">
        <v>6.5</v>
      </c>
      <c r="AH40" s="29"/>
      <c r="AI40" s="60" t="s">
        <v>137</v>
      </c>
    </row>
    <row r="41" spans="2:39" s="64" customFormat="1" ht="26.25" customHeight="1" x14ac:dyDescent="0.25">
      <c r="B41" s="31" t="s">
        <v>30</v>
      </c>
      <c r="C41" s="34" t="s">
        <v>31</v>
      </c>
      <c r="D41" s="32">
        <f t="shared" ref="D41:AG41" si="12">D42+D43+D44</f>
        <v>544.4</v>
      </c>
      <c r="E41" s="32">
        <f t="shared" si="12"/>
        <v>269.10000000000002</v>
      </c>
      <c r="F41" s="32">
        <f t="shared" si="12"/>
        <v>441.2</v>
      </c>
      <c r="G41" s="26">
        <f t="shared" si="12"/>
        <v>1509.3</v>
      </c>
      <c r="H41" s="26">
        <f>SUM(H42:H44)</f>
        <v>1509.3</v>
      </c>
      <c r="I41" s="26">
        <f>I42+I43+I44</f>
        <v>1024.2</v>
      </c>
      <c r="J41" s="26">
        <f>J42+J43+J44</f>
        <v>106.8</v>
      </c>
      <c r="K41" s="26">
        <f t="shared" si="12"/>
        <v>1.5</v>
      </c>
      <c r="L41" s="26">
        <f t="shared" si="12"/>
        <v>108.3</v>
      </c>
      <c r="M41" s="26">
        <f>M42+M43+M44</f>
        <v>198.6</v>
      </c>
      <c r="N41" s="26">
        <f t="shared" si="6"/>
        <v>67.900000000000006</v>
      </c>
      <c r="O41" s="26">
        <f t="shared" si="7"/>
        <v>-485.1</v>
      </c>
      <c r="P41" s="29">
        <f t="shared" si="3"/>
        <v>0.7</v>
      </c>
      <c r="Q41" s="26">
        <f t="shared" si="12"/>
        <v>91.2</v>
      </c>
      <c r="R41" s="26">
        <f>R42+R43+R44</f>
        <v>0</v>
      </c>
      <c r="S41" s="26">
        <f t="shared" si="12"/>
        <v>89.4</v>
      </c>
      <c r="T41" s="26">
        <f>T42+T43+T44</f>
        <v>0</v>
      </c>
      <c r="U41" s="26">
        <f t="shared" si="12"/>
        <v>91.5</v>
      </c>
      <c r="V41" s="26">
        <f>V42+V43+V44</f>
        <v>0</v>
      </c>
      <c r="W41" s="26">
        <f t="shared" si="12"/>
        <v>91.2</v>
      </c>
      <c r="X41" s="26">
        <f>X42+X43+X44</f>
        <v>0</v>
      </c>
      <c r="Y41" s="26">
        <f t="shared" si="12"/>
        <v>91.1</v>
      </c>
      <c r="Z41" s="26">
        <f>Z42+Z43+Z44</f>
        <v>0</v>
      </c>
      <c r="AA41" s="26">
        <f t="shared" si="12"/>
        <v>88</v>
      </c>
      <c r="AB41" s="26">
        <f>AB42+AB43+AB44</f>
        <v>0</v>
      </c>
      <c r="AC41" s="26">
        <f t="shared" si="12"/>
        <v>106</v>
      </c>
      <c r="AD41" s="26">
        <f>AD42+AD43+AD44</f>
        <v>0</v>
      </c>
      <c r="AE41" s="26">
        <f t="shared" si="12"/>
        <v>111.3</v>
      </c>
      <c r="AF41" s="26">
        <f>AF42+AF43+AF44</f>
        <v>0</v>
      </c>
      <c r="AG41" s="26">
        <f t="shared" si="12"/>
        <v>111.4</v>
      </c>
      <c r="AH41" s="26">
        <f>AH42+AH43+AH44</f>
        <v>0</v>
      </c>
      <c r="AI41" s="84" t="s">
        <v>125</v>
      </c>
      <c r="AJ41" s="62"/>
      <c r="AK41" s="62"/>
      <c r="AL41" s="62"/>
      <c r="AM41" s="62"/>
    </row>
    <row r="42" spans="2:39" ht="22.5" customHeight="1" x14ac:dyDescent="0.25">
      <c r="B42" s="19" t="s">
        <v>32</v>
      </c>
      <c r="C42" s="35" t="s">
        <v>33</v>
      </c>
      <c r="D42" s="28">
        <v>381.7</v>
      </c>
      <c r="E42" s="28">
        <v>174.2</v>
      </c>
      <c r="F42" s="28">
        <v>291.5</v>
      </c>
      <c r="G42" s="29">
        <v>863.7</v>
      </c>
      <c r="H42" s="29">
        <v>863.7</v>
      </c>
      <c r="I42" s="29">
        <v>576.5</v>
      </c>
      <c r="J42" s="29">
        <v>55</v>
      </c>
      <c r="K42" s="29">
        <v>0</v>
      </c>
      <c r="L42" s="29">
        <v>55</v>
      </c>
      <c r="M42" s="29">
        <f>50.2+46.589+6.83</f>
        <v>103.6</v>
      </c>
      <c r="N42" s="29">
        <f t="shared" si="6"/>
        <v>66.7</v>
      </c>
      <c r="O42" s="29">
        <f t="shared" si="7"/>
        <v>-287.2</v>
      </c>
      <c r="P42" s="29">
        <f t="shared" si="3"/>
        <v>0.7</v>
      </c>
      <c r="Q42" s="29">
        <v>53.5</v>
      </c>
      <c r="R42" s="29"/>
      <c r="S42" s="29">
        <v>53.6</v>
      </c>
      <c r="T42" s="29"/>
      <c r="U42" s="29">
        <v>55</v>
      </c>
      <c r="V42" s="29"/>
      <c r="W42" s="29">
        <v>54.4</v>
      </c>
      <c r="X42" s="29"/>
      <c r="Y42" s="29">
        <v>54.6</v>
      </c>
      <c r="Z42" s="29"/>
      <c r="AA42" s="29">
        <v>51.5</v>
      </c>
      <c r="AB42" s="29"/>
      <c r="AC42" s="29">
        <v>52.4</v>
      </c>
      <c r="AD42" s="29"/>
      <c r="AE42" s="29">
        <v>55.7</v>
      </c>
      <c r="AF42" s="29"/>
      <c r="AG42" s="29">
        <v>55.8</v>
      </c>
      <c r="AH42" s="29"/>
      <c r="AI42" s="85"/>
    </row>
    <row r="43" spans="2:39" ht="21" customHeight="1" x14ac:dyDescent="0.25">
      <c r="B43" s="19" t="s">
        <v>34</v>
      </c>
      <c r="C43" s="35" t="s">
        <v>35</v>
      </c>
      <c r="D43" s="28">
        <v>150.6</v>
      </c>
      <c r="E43" s="28">
        <v>92.4</v>
      </c>
      <c r="F43" s="28">
        <v>137.30000000000001</v>
      </c>
      <c r="G43" s="29">
        <v>607.20000000000005</v>
      </c>
      <c r="H43" s="29">
        <v>607.20000000000005</v>
      </c>
      <c r="I43" s="29">
        <v>428.6</v>
      </c>
      <c r="J43" s="29">
        <v>48.6</v>
      </c>
      <c r="K43" s="29">
        <v>0</v>
      </c>
      <c r="L43" s="29">
        <v>50.1</v>
      </c>
      <c r="M43" s="29">
        <f>36.587+52.698+1.707+1.609+0.896</f>
        <v>93.5</v>
      </c>
      <c r="N43" s="29">
        <f t="shared" si="6"/>
        <v>70.599999999999994</v>
      </c>
      <c r="O43" s="29">
        <f t="shared" si="7"/>
        <v>-178.6</v>
      </c>
      <c r="P43" s="29">
        <f t="shared" si="3"/>
        <v>0.7</v>
      </c>
      <c r="Q43" s="29">
        <v>34.5</v>
      </c>
      <c r="R43" s="29"/>
      <c r="S43" s="29">
        <v>32.6</v>
      </c>
      <c r="T43" s="29"/>
      <c r="U43" s="29">
        <v>33.299999999999997</v>
      </c>
      <c r="V43" s="29"/>
      <c r="W43" s="29">
        <v>33.6</v>
      </c>
      <c r="X43" s="29"/>
      <c r="Y43" s="29">
        <v>33.299999999999997</v>
      </c>
      <c r="Z43" s="29"/>
      <c r="AA43" s="29">
        <v>33.299999999999997</v>
      </c>
      <c r="AB43" s="29"/>
      <c r="AC43" s="29">
        <v>50.4</v>
      </c>
      <c r="AD43" s="29"/>
      <c r="AE43" s="29">
        <v>52.4</v>
      </c>
      <c r="AF43" s="29"/>
      <c r="AG43" s="29">
        <v>52.4</v>
      </c>
      <c r="AH43" s="29"/>
      <c r="AI43" s="85"/>
    </row>
    <row r="44" spans="2:39" ht="21" customHeight="1" x14ac:dyDescent="0.25">
      <c r="B44" s="19" t="s">
        <v>70</v>
      </c>
      <c r="C44" s="35" t="s">
        <v>36</v>
      </c>
      <c r="D44" s="28">
        <v>12.1</v>
      </c>
      <c r="E44" s="28">
        <v>2.5</v>
      </c>
      <c r="F44" s="28">
        <v>12.4</v>
      </c>
      <c r="G44" s="29">
        <v>38.4</v>
      </c>
      <c r="H44" s="29">
        <v>38.4</v>
      </c>
      <c r="I44" s="29">
        <v>19.100000000000001</v>
      </c>
      <c r="J44" s="29">
        <v>3.2</v>
      </c>
      <c r="K44" s="29">
        <v>1.5</v>
      </c>
      <c r="L44" s="29">
        <v>3.2</v>
      </c>
      <c r="M44" s="29">
        <f>1.5+0.04</f>
        <v>1.5</v>
      </c>
      <c r="N44" s="29">
        <f t="shared" si="6"/>
        <v>49.7</v>
      </c>
      <c r="O44" s="29">
        <f t="shared" si="7"/>
        <v>-19.3</v>
      </c>
      <c r="P44" s="29">
        <f t="shared" si="3"/>
        <v>0.5</v>
      </c>
      <c r="Q44" s="29">
        <v>3.2</v>
      </c>
      <c r="R44" s="29"/>
      <c r="S44" s="29">
        <v>3.2</v>
      </c>
      <c r="T44" s="29"/>
      <c r="U44" s="29">
        <v>3.2</v>
      </c>
      <c r="V44" s="29"/>
      <c r="W44" s="29">
        <v>3.2</v>
      </c>
      <c r="X44" s="29"/>
      <c r="Y44" s="29">
        <v>3.2</v>
      </c>
      <c r="Z44" s="29"/>
      <c r="AA44" s="29">
        <v>3.2</v>
      </c>
      <c r="AB44" s="29"/>
      <c r="AC44" s="29">
        <v>3.2</v>
      </c>
      <c r="AD44" s="29"/>
      <c r="AE44" s="29">
        <v>3.2</v>
      </c>
      <c r="AF44" s="29"/>
      <c r="AG44" s="29">
        <v>3.2</v>
      </c>
      <c r="AH44" s="29"/>
      <c r="AI44" s="86"/>
    </row>
    <row r="45" spans="2:39" s="3" customFormat="1" ht="18" customHeight="1" x14ac:dyDescent="0.3">
      <c r="B45" s="17" t="s">
        <v>37</v>
      </c>
      <c r="C45" s="19" t="s">
        <v>53</v>
      </c>
      <c r="D45" s="28">
        <v>12</v>
      </c>
      <c r="E45" s="28">
        <v>3.1</v>
      </c>
      <c r="F45" s="28">
        <v>10.7</v>
      </c>
      <c r="G45" s="29">
        <v>36</v>
      </c>
      <c r="H45" s="29">
        <v>36</v>
      </c>
      <c r="I45" s="29">
        <v>27.5</v>
      </c>
      <c r="J45" s="29">
        <v>3</v>
      </c>
      <c r="K45" s="29">
        <v>1.1000000000000001</v>
      </c>
      <c r="L45" s="29">
        <v>3</v>
      </c>
      <c r="M45" s="29">
        <v>5.3</v>
      </c>
      <c r="N45" s="29">
        <f t="shared" si="6"/>
        <v>76.400000000000006</v>
      </c>
      <c r="O45" s="29">
        <f t="shared" si="7"/>
        <v>-8.5</v>
      </c>
      <c r="P45" s="29">
        <f t="shared" si="3"/>
        <v>0.8</v>
      </c>
      <c r="Q45" s="29">
        <v>3</v>
      </c>
      <c r="R45" s="29"/>
      <c r="S45" s="29">
        <v>3</v>
      </c>
      <c r="T45" s="29"/>
      <c r="U45" s="29">
        <v>3</v>
      </c>
      <c r="V45" s="29"/>
      <c r="W45" s="29">
        <v>3</v>
      </c>
      <c r="X45" s="29"/>
      <c r="Y45" s="29">
        <v>3</v>
      </c>
      <c r="Z45" s="29"/>
      <c r="AA45" s="29">
        <v>3</v>
      </c>
      <c r="AB45" s="29"/>
      <c r="AC45" s="29">
        <v>3</v>
      </c>
      <c r="AD45" s="29"/>
      <c r="AE45" s="29">
        <v>3</v>
      </c>
      <c r="AF45" s="29"/>
      <c r="AG45" s="29">
        <v>3</v>
      </c>
      <c r="AH45" s="29"/>
      <c r="AI45" s="65" t="s">
        <v>140</v>
      </c>
    </row>
    <row r="46" spans="2:39" s="3" customFormat="1" x14ac:dyDescent="0.25">
      <c r="B46" s="17" t="s">
        <v>38</v>
      </c>
      <c r="C46" s="19" t="s">
        <v>56</v>
      </c>
      <c r="D46" s="28">
        <v>45.8</v>
      </c>
      <c r="E46" s="28">
        <v>52.5</v>
      </c>
      <c r="F46" s="28">
        <v>66.400000000000006</v>
      </c>
      <c r="G46" s="29">
        <v>24</v>
      </c>
      <c r="H46" s="29">
        <v>24</v>
      </c>
      <c r="I46" s="29">
        <v>4.7</v>
      </c>
      <c r="J46" s="29">
        <v>2</v>
      </c>
      <c r="K46" s="29">
        <v>1.1000000000000001</v>
      </c>
      <c r="L46" s="29">
        <v>2</v>
      </c>
      <c r="M46" s="29">
        <v>1.3</v>
      </c>
      <c r="N46" s="29">
        <f t="shared" si="6"/>
        <v>19.600000000000001</v>
      </c>
      <c r="O46" s="29">
        <f t="shared" si="7"/>
        <v>-19.3</v>
      </c>
      <c r="P46" s="29">
        <f t="shared" si="3"/>
        <v>0.2</v>
      </c>
      <c r="Q46" s="29">
        <v>2</v>
      </c>
      <c r="R46" s="29"/>
      <c r="S46" s="29">
        <v>2</v>
      </c>
      <c r="T46" s="29"/>
      <c r="U46" s="29">
        <v>2</v>
      </c>
      <c r="V46" s="29"/>
      <c r="W46" s="29">
        <v>2</v>
      </c>
      <c r="X46" s="29"/>
      <c r="Y46" s="29">
        <v>2</v>
      </c>
      <c r="Z46" s="29"/>
      <c r="AA46" s="29">
        <v>2</v>
      </c>
      <c r="AB46" s="29"/>
      <c r="AC46" s="29">
        <v>2</v>
      </c>
      <c r="AD46" s="29"/>
      <c r="AE46" s="29">
        <v>2</v>
      </c>
      <c r="AF46" s="29"/>
      <c r="AG46" s="29">
        <v>2</v>
      </c>
      <c r="AH46" s="29"/>
      <c r="AI46" s="89" t="s">
        <v>142</v>
      </c>
    </row>
    <row r="47" spans="2:39" s="3" customFormat="1" x14ac:dyDescent="0.25">
      <c r="B47" s="17" t="s">
        <v>42</v>
      </c>
      <c r="C47" s="19" t="s">
        <v>57</v>
      </c>
      <c r="D47" s="28">
        <v>29.3</v>
      </c>
      <c r="E47" s="28">
        <v>16.7</v>
      </c>
      <c r="F47" s="28">
        <v>38.299999999999997</v>
      </c>
      <c r="G47" s="29">
        <v>56.4</v>
      </c>
      <c r="H47" s="29">
        <v>56.4</v>
      </c>
      <c r="I47" s="29">
        <v>30.7</v>
      </c>
      <c r="J47" s="29">
        <v>2</v>
      </c>
      <c r="K47" s="29">
        <v>0</v>
      </c>
      <c r="L47" s="29">
        <v>6</v>
      </c>
      <c r="M47" s="29">
        <v>11</v>
      </c>
      <c r="N47" s="29">
        <f t="shared" si="6"/>
        <v>54.4</v>
      </c>
      <c r="O47" s="29">
        <f t="shared" si="7"/>
        <v>-25.7</v>
      </c>
      <c r="P47" s="29">
        <f t="shared" si="3"/>
        <v>0.5</v>
      </c>
      <c r="Q47" s="29">
        <v>6</v>
      </c>
      <c r="R47" s="29"/>
      <c r="S47" s="29">
        <v>6</v>
      </c>
      <c r="T47" s="29"/>
      <c r="U47" s="29">
        <v>6</v>
      </c>
      <c r="V47" s="29"/>
      <c r="W47" s="29">
        <v>4.5</v>
      </c>
      <c r="X47" s="29"/>
      <c r="Y47" s="29">
        <v>4.5</v>
      </c>
      <c r="Z47" s="29"/>
      <c r="AA47" s="29">
        <v>4.5</v>
      </c>
      <c r="AB47" s="29"/>
      <c r="AC47" s="29">
        <v>4.5</v>
      </c>
      <c r="AD47" s="29"/>
      <c r="AE47" s="29">
        <v>4.4000000000000004</v>
      </c>
      <c r="AF47" s="29"/>
      <c r="AG47" s="29">
        <v>2</v>
      </c>
      <c r="AH47" s="29"/>
      <c r="AI47" s="90"/>
    </row>
    <row r="48" spans="2:39" s="64" customFormat="1" x14ac:dyDescent="0.3">
      <c r="B48" s="17" t="s">
        <v>43</v>
      </c>
      <c r="C48" s="17" t="s">
        <v>39</v>
      </c>
      <c r="D48" s="26">
        <f>SUM(D49:D57)</f>
        <v>1095.3</v>
      </c>
      <c r="E48" s="26">
        <f>SUM(E49:E57)</f>
        <v>709.4</v>
      </c>
      <c r="F48" s="26">
        <f>F49+F50+F51+F52+F53+F54+F55+F56+F57</f>
        <v>1046.5</v>
      </c>
      <c r="G48" s="26">
        <f>G49+G50+G51+G52+G53+G54+G55+G56+G57</f>
        <v>685</v>
      </c>
      <c r="H48" s="26">
        <f>SUM(H49:H57)</f>
        <v>685</v>
      </c>
      <c r="I48" s="26">
        <f>I49+I50+I51+I52+I53+I54+I55+I56+I57</f>
        <v>555.9</v>
      </c>
      <c r="J48" s="26">
        <f>J49+J50+J51+J52+J53+J54+J55+J56+J57</f>
        <v>102.5</v>
      </c>
      <c r="K48" s="26">
        <f>K49+K50+K51+K52+K53+K54+K55+K56+K57</f>
        <v>146.5</v>
      </c>
      <c r="L48" s="26">
        <f t="shared" ref="L48:AG48" si="13">SUM(L49:L57)</f>
        <v>102.5</v>
      </c>
      <c r="M48" s="26">
        <f>M49+M50+M51+M52+M53+M54+M55+M56+M57</f>
        <v>66.599999999999994</v>
      </c>
      <c r="N48" s="26">
        <f t="shared" si="6"/>
        <v>81.2</v>
      </c>
      <c r="O48" s="26">
        <f t="shared" si="7"/>
        <v>-129.1</v>
      </c>
      <c r="P48" s="29">
        <f t="shared" si="3"/>
        <v>0.8</v>
      </c>
      <c r="Q48" s="26">
        <f t="shared" si="13"/>
        <v>91.2</v>
      </c>
      <c r="R48" s="26">
        <f>R49+R50+R51+R52+R53+R54+R55+R56+R57</f>
        <v>0</v>
      </c>
      <c r="S48" s="26">
        <f t="shared" si="13"/>
        <v>56.9</v>
      </c>
      <c r="T48" s="26">
        <f>T49+T50+T51+T52+T54+T55+T56+T57</f>
        <v>0</v>
      </c>
      <c r="U48" s="26">
        <f t="shared" si="13"/>
        <v>56.9</v>
      </c>
      <c r="V48" s="26">
        <f>V49+V50+V51+V52+V53+V54+V55+V56+V57</f>
        <v>0</v>
      </c>
      <c r="W48" s="26">
        <f>SUM(W49:W57)</f>
        <v>53.3</v>
      </c>
      <c r="X48" s="26">
        <f>X49+X50+X51+X52+X53+X54+X55+X56+X57</f>
        <v>0</v>
      </c>
      <c r="Y48" s="26">
        <f t="shared" si="13"/>
        <v>53.3</v>
      </c>
      <c r="Z48" s="26">
        <f>Z49+Z50+Z51+Z52+Z53+Z54+Z55+Z56+Z57</f>
        <v>0</v>
      </c>
      <c r="AA48" s="26">
        <f t="shared" si="13"/>
        <v>53.3</v>
      </c>
      <c r="AB48" s="26">
        <f>AB49+AB50+AB51+AB52+AB53+AB54+AB55+AB56+AB57</f>
        <v>0</v>
      </c>
      <c r="AC48" s="26">
        <f t="shared" si="13"/>
        <v>87.6</v>
      </c>
      <c r="AD48" s="26">
        <f>AD49+AD50+AD51+AD52+AD53+AD54+AD55+AD56+AD57</f>
        <v>0</v>
      </c>
      <c r="AE48" s="26">
        <f t="shared" si="13"/>
        <v>53.3</v>
      </c>
      <c r="AF48" s="26">
        <f>AF49+AF50+AF51+AF52+AF53+AF54+AF55+AF56+AF57</f>
        <v>0</v>
      </c>
      <c r="AG48" s="26">
        <f t="shared" si="13"/>
        <v>53.3</v>
      </c>
      <c r="AH48" s="26">
        <f>AH49+AH50+AH51+AH52+AH53+AH54+AH55+AH56+AH57</f>
        <v>0</v>
      </c>
      <c r="AI48" s="63"/>
    </row>
    <row r="49" spans="2:35" ht="25.5" customHeight="1" x14ac:dyDescent="0.3">
      <c r="B49" s="36" t="s">
        <v>104</v>
      </c>
      <c r="C49" s="19" t="s">
        <v>40</v>
      </c>
      <c r="D49" s="28">
        <v>26.2</v>
      </c>
      <c r="E49" s="28">
        <v>9</v>
      </c>
      <c r="F49" s="28">
        <v>24.6</v>
      </c>
      <c r="G49" s="29">
        <v>2.4</v>
      </c>
      <c r="H49" s="29">
        <v>2.4</v>
      </c>
      <c r="I49" s="29">
        <v>1.6</v>
      </c>
      <c r="J49" s="29">
        <v>0.2</v>
      </c>
      <c r="K49" s="29">
        <v>0.1</v>
      </c>
      <c r="L49" s="29">
        <v>0.2</v>
      </c>
      <c r="M49" s="29">
        <v>0.1</v>
      </c>
      <c r="N49" s="29">
        <f t="shared" si="6"/>
        <v>66.7</v>
      </c>
      <c r="O49" s="29">
        <f t="shared" si="7"/>
        <v>-0.8</v>
      </c>
      <c r="P49" s="29">
        <f t="shared" si="3"/>
        <v>0.7</v>
      </c>
      <c r="Q49" s="29">
        <v>0.2</v>
      </c>
      <c r="R49" s="29"/>
      <c r="S49" s="29">
        <v>0.2</v>
      </c>
      <c r="T49" s="29"/>
      <c r="U49" s="29">
        <v>0.2</v>
      </c>
      <c r="V49" s="29"/>
      <c r="W49" s="29">
        <v>0.2</v>
      </c>
      <c r="X49" s="29"/>
      <c r="Y49" s="29">
        <v>0.2</v>
      </c>
      <c r="Z49" s="29"/>
      <c r="AA49" s="29">
        <v>0.2</v>
      </c>
      <c r="AB49" s="29"/>
      <c r="AC49" s="29">
        <v>0.2</v>
      </c>
      <c r="AD49" s="29"/>
      <c r="AE49" s="29">
        <v>0.2</v>
      </c>
      <c r="AF49" s="29"/>
      <c r="AG49" s="29">
        <v>0.2</v>
      </c>
      <c r="AH49" s="29"/>
      <c r="AI49" s="60"/>
    </row>
    <row r="50" spans="2:35" ht="25.5" customHeight="1" x14ac:dyDescent="0.3">
      <c r="B50" s="19" t="s">
        <v>105</v>
      </c>
      <c r="C50" s="20" t="s">
        <v>67</v>
      </c>
      <c r="D50" s="28">
        <v>36.4</v>
      </c>
      <c r="E50" s="28">
        <v>102</v>
      </c>
      <c r="F50" s="28">
        <v>42.9</v>
      </c>
      <c r="G50" s="29">
        <v>36</v>
      </c>
      <c r="H50" s="29">
        <v>36</v>
      </c>
      <c r="I50" s="29">
        <v>27.8</v>
      </c>
      <c r="J50" s="29">
        <v>3</v>
      </c>
      <c r="K50" s="29">
        <v>1.9</v>
      </c>
      <c r="L50" s="29">
        <v>3</v>
      </c>
      <c r="M50" s="29">
        <v>0</v>
      </c>
      <c r="N50" s="29">
        <f t="shared" si="6"/>
        <v>77.2</v>
      </c>
      <c r="O50" s="29">
        <f t="shared" si="7"/>
        <v>-8.1999999999999993</v>
      </c>
      <c r="P50" s="29">
        <f t="shared" si="3"/>
        <v>0.8</v>
      </c>
      <c r="Q50" s="29">
        <v>3</v>
      </c>
      <c r="R50" s="29"/>
      <c r="S50" s="29">
        <v>3</v>
      </c>
      <c r="T50" s="29"/>
      <c r="U50" s="29">
        <v>3</v>
      </c>
      <c r="V50" s="29"/>
      <c r="W50" s="29">
        <v>3</v>
      </c>
      <c r="X50" s="29"/>
      <c r="Y50" s="29">
        <v>3</v>
      </c>
      <c r="Z50" s="29"/>
      <c r="AA50" s="29">
        <v>3</v>
      </c>
      <c r="AB50" s="29"/>
      <c r="AC50" s="29">
        <v>3</v>
      </c>
      <c r="AD50" s="29"/>
      <c r="AE50" s="29">
        <v>3</v>
      </c>
      <c r="AF50" s="29"/>
      <c r="AG50" s="29">
        <v>3</v>
      </c>
      <c r="AH50" s="29"/>
      <c r="AI50" s="60" t="s">
        <v>143</v>
      </c>
    </row>
    <row r="51" spans="2:35" ht="25.5" customHeight="1" x14ac:dyDescent="0.3">
      <c r="B51" s="19" t="s">
        <v>106</v>
      </c>
      <c r="C51" s="19" t="s">
        <v>61</v>
      </c>
      <c r="D51" s="28">
        <v>270</v>
      </c>
      <c r="E51" s="28">
        <v>402.4</v>
      </c>
      <c r="F51" s="28">
        <v>223.2</v>
      </c>
      <c r="G51" s="29">
        <v>117.6</v>
      </c>
      <c r="H51" s="29">
        <v>117.6</v>
      </c>
      <c r="I51" s="29">
        <v>118.5</v>
      </c>
      <c r="J51" s="29">
        <v>9.8000000000000007</v>
      </c>
      <c r="K51" s="29">
        <v>16.2</v>
      </c>
      <c r="L51" s="29">
        <v>9.8000000000000007</v>
      </c>
      <c r="M51" s="29">
        <v>9.3000000000000007</v>
      </c>
      <c r="N51" s="29">
        <f t="shared" si="6"/>
        <v>100.8</v>
      </c>
      <c r="O51" s="29">
        <f t="shared" si="7"/>
        <v>0.9</v>
      </c>
      <c r="P51" s="29">
        <f t="shared" si="3"/>
        <v>1</v>
      </c>
      <c r="Q51" s="29">
        <v>9.8000000000000007</v>
      </c>
      <c r="R51" s="29"/>
      <c r="S51" s="29">
        <v>9.8000000000000007</v>
      </c>
      <c r="T51" s="29"/>
      <c r="U51" s="29">
        <v>9.8000000000000007</v>
      </c>
      <c r="V51" s="29"/>
      <c r="W51" s="29">
        <v>9.8000000000000007</v>
      </c>
      <c r="X51" s="29"/>
      <c r="Y51" s="29">
        <v>9.8000000000000007</v>
      </c>
      <c r="Z51" s="29"/>
      <c r="AA51" s="29">
        <v>9.8000000000000007</v>
      </c>
      <c r="AB51" s="29"/>
      <c r="AC51" s="29">
        <v>9.8000000000000007</v>
      </c>
      <c r="AD51" s="29"/>
      <c r="AE51" s="29">
        <v>9.8000000000000007</v>
      </c>
      <c r="AF51" s="29"/>
      <c r="AG51" s="29">
        <v>9.8000000000000007</v>
      </c>
      <c r="AH51" s="29"/>
      <c r="AI51" s="56"/>
    </row>
    <row r="52" spans="2:35" ht="24.75" customHeight="1" x14ac:dyDescent="0.3">
      <c r="B52" s="19" t="s">
        <v>107</v>
      </c>
      <c r="C52" s="19" t="s">
        <v>72</v>
      </c>
      <c r="D52" s="28">
        <v>357.4</v>
      </c>
      <c r="E52" s="28">
        <v>0</v>
      </c>
      <c r="F52" s="28">
        <v>319.2</v>
      </c>
      <c r="G52" s="29">
        <v>210.4</v>
      </c>
      <c r="H52" s="29">
        <v>210.4</v>
      </c>
      <c r="I52" s="29">
        <v>178.4</v>
      </c>
      <c r="J52" s="29">
        <v>60</v>
      </c>
      <c r="K52" s="29">
        <v>94.6</v>
      </c>
      <c r="L52" s="29">
        <v>60</v>
      </c>
      <c r="M52" s="29">
        <v>34.700000000000003</v>
      </c>
      <c r="N52" s="29">
        <f t="shared" si="6"/>
        <v>84.8</v>
      </c>
      <c r="O52" s="29">
        <f t="shared" si="7"/>
        <v>-32</v>
      </c>
      <c r="P52" s="29">
        <f t="shared" si="3"/>
        <v>0.8</v>
      </c>
      <c r="Q52" s="29">
        <v>14.4</v>
      </c>
      <c r="R52" s="29"/>
      <c r="S52" s="29">
        <v>14.4</v>
      </c>
      <c r="T52" s="29"/>
      <c r="U52" s="29">
        <v>14.4</v>
      </c>
      <c r="V52" s="29"/>
      <c r="W52" s="29">
        <v>10.8</v>
      </c>
      <c r="X52" s="29"/>
      <c r="Y52" s="29">
        <v>10.8</v>
      </c>
      <c r="Z52" s="29"/>
      <c r="AA52" s="29">
        <v>10.8</v>
      </c>
      <c r="AB52" s="29"/>
      <c r="AC52" s="29">
        <v>10.8</v>
      </c>
      <c r="AD52" s="29"/>
      <c r="AE52" s="29">
        <v>10.8</v>
      </c>
      <c r="AF52" s="29"/>
      <c r="AG52" s="29">
        <v>10.8</v>
      </c>
      <c r="AH52" s="29"/>
      <c r="AI52" s="56" t="s">
        <v>145</v>
      </c>
    </row>
    <row r="53" spans="2:35" ht="25.5" customHeight="1" x14ac:dyDescent="0.3">
      <c r="B53" s="19" t="s">
        <v>108</v>
      </c>
      <c r="C53" s="19" t="s">
        <v>66</v>
      </c>
      <c r="D53" s="28">
        <v>39.200000000000003</v>
      </c>
      <c r="E53" s="28">
        <v>39.6</v>
      </c>
      <c r="F53" s="28">
        <v>39</v>
      </c>
      <c r="G53" s="29">
        <v>36</v>
      </c>
      <c r="H53" s="29">
        <v>36</v>
      </c>
      <c r="I53" s="29">
        <v>45.4</v>
      </c>
      <c r="J53" s="29">
        <v>3</v>
      </c>
      <c r="K53" s="28">
        <v>3.3</v>
      </c>
      <c r="L53" s="28">
        <v>3</v>
      </c>
      <c r="M53" s="28">
        <v>3.3</v>
      </c>
      <c r="N53" s="28">
        <f t="shared" si="6"/>
        <v>126.1</v>
      </c>
      <c r="O53" s="28">
        <f t="shared" si="7"/>
        <v>9.4</v>
      </c>
      <c r="P53" s="32">
        <f t="shared" si="3"/>
        <v>1.3</v>
      </c>
      <c r="Q53" s="28">
        <v>3</v>
      </c>
      <c r="R53" s="28"/>
      <c r="S53" s="28">
        <v>3</v>
      </c>
      <c r="T53" s="28"/>
      <c r="U53" s="28">
        <v>3</v>
      </c>
      <c r="V53" s="28"/>
      <c r="W53" s="28">
        <v>3</v>
      </c>
      <c r="X53" s="28"/>
      <c r="Y53" s="28">
        <v>3</v>
      </c>
      <c r="Z53" s="28"/>
      <c r="AA53" s="28">
        <v>3</v>
      </c>
      <c r="AB53" s="28"/>
      <c r="AC53" s="28">
        <v>3</v>
      </c>
      <c r="AD53" s="28"/>
      <c r="AE53" s="28">
        <v>3</v>
      </c>
      <c r="AF53" s="28"/>
      <c r="AG53" s="28">
        <v>3</v>
      </c>
      <c r="AH53" s="28"/>
      <c r="AI53" s="56" t="s">
        <v>146</v>
      </c>
    </row>
    <row r="54" spans="2:35" ht="26.25" customHeight="1" x14ac:dyDescent="0.3">
      <c r="B54" s="19" t="s">
        <v>109</v>
      </c>
      <c r="C54" s="19" t="s">
        <v>54</v>
      </c>
      <c r="D54" s="28">
        <v>25.2</v>
      </c>
      <c r="E54" s="28">
        <v>12.6</v>
      </c>
      <c r="F54" s="28">
        <v>25.2</v>
      </c>
      <c r="G54" s="29">
        <v>21.6</v>
      </c>
      <c r="H54" s="29">
        <v>21.6</v>
      </c>
      <c r="I54" s="29">
        <v>19.2</v>
      </c>
      <c r="J54" s="29">
        <v>1.8</v>
      </c>
      <c r="K54" s="29">
        <v>1.6</v>
      </c>
      <c r="L54" s="29">
        <v>1.8</v>
      </c>
      <c r="M54" s="29">
        <v>1.6</v>
      </c>
      <c r="N54" s="29">
        <f t="shared" si="6"/>
        <v>88.9</v>
      </c>
      <c r="O54" s="29">
        <f t="shared" si="7"/>
        <v>-2.4</v>
      </c>
      <c r="P54" s="29">
        <f t="shared" si="3"/>
        <v>0.9</v>
      </c>
      <c r="Q54" s="29">
        <v>1.8</v>
      </c>
      <c r="R54" s="29"/>
      <c r="S54" s="29">
        <v>1.8</v>
      </c>
      <c r="T54" s="29"/>
      <c r="U54" s="29">
        <v>1.8</v>
      </c>
      <c r="V54" s="29"/>
      <c r="W54" s="29">
        <v>1.8</v>
      </c>
      <c r="X54" s="29"/>
      <c r="Y54" s="29">
        <v>1.8</v>
      </c>
      <c r="Z54" s="29"/>
      <c r="AA54" s="29">
        <v>1.8</v>
      </c>
      <c r="AB54" s="29"/>
      <c r="AC54" s="29">
        <v>1.8</v>
      </c>
      <c r="AD54" s="29"/>
      <c r="AE54" s="29">
        <v>1.8</v>
      </c>
      <c r="AF54" s="29"/>
      <c r="AG54" s="29">
        <v>1.8</v>
      </c>
      <c r="AH54" s="29"/>
      <c r="AI54" s="56"/>
    </row>
    <row r="55" spans="2:35" ht="22.5" customHeight="1" x14ac:dyDescent="0.3">
      <c r="B55" s="19" t="s">
        <v>110</v>
      </c>
      <c r="C55" s="19" t="s">
        <v>55</v>
      </c>
      <c r="D55" s="28">
        <v>63.4</v>
      </c>
      <c r="E55" s="28">
        <v>61.8</v>
      </c>
      <c r="F55" s="28">
        <v>62.7</v>
      </c>
      <c r="G55" s="29">
        <v>22.8</v>
      </c>
      <c r="H55" s="29">
        <v>22.8</v>
      </c>
      <c r="I55" s="29">
        <v>20.399999999999999</v>
      </c>
      <c r="J55" s="29">
        <v>1.9</v>
      </c>
      <c r="K55" s="29">
        <v>1.7</v>
      </c>
      <c r="L55" s="29">
        <v>1.9</v>
      </c>
      <c r="M55" s="29">
        <v>1.7</v>
      </c>
      <c r="N55" s="29">
        <f t="shared" si="6"/>
        <v>89.5</v>
      </c>
      <c r="O55" s="29">
        <f t="shared" si="7"/>
        <v>-2.4</v>
      </c>
      <c r="P55" s="29">
        <f t="shared" si="3"/>
        <v>0.9</v>
      </c>
      <c r="Q55" s="29">
        <v>1.9</v>
      </c>
      <c r="R55" s="29"/>
      <c r="S55" s="29">
        <v>1.9</v>
      </c>
      <c r="T55" s="29"/>
      <c r="U55" s="29">
        <v>1.9</v>
      </c>
      <c r="V55" s="29"/>
      <c r="W55" s="29">
        <v>1.9</v>
      </c>
      <c r="X55" s="29"/>
      <c r="Y55" s="29">
        <v>1.9</v>
      </c>
      <c r="Z55" s="29"/>
      <c r="AA55" s="29">
        <v>1.9</v>
      </c>
      <c r="AB55" s="29"/>
      <c r="AC55" s="29">
        <v>1.9</v>
      </c>
      <c r="AD55" s="29"/>
      <c r="AE55" s="29">
        <v>1.9</v>
      </c>
      <c r="AF55" s="29"/>
      <c r="AG55" s="29">
        <v>1.9</v>
      </c>
      <c r="AH55" s="29"/>
      <c r="AI55" s="56"/>
    </row>
    <row r="56" spans="2:35" ht="35.25" customHeight="1" x14ac:dyDescent="0.3">
      <c r="B56" s="19" t="s">
        <v>111</v>
      </c>
      <c r="C56" s="19" t="s">
        <v>73</v>
      </c>
      <c r="D56" s="28">
        <v>73.400000000000006</v>
      </c>
      <c r="E56" s="28">
        <v>1.7</v>
      </c>
      <c r="F56" s="28">
        <v>69.2</v>
      </c>
      <c r="G56" s="29">
        <v>52</v>
      </c>
      <c r="H56" s="29">
        <v>52</v>
      </c>
      <c r="I56" s="29">
        <v>15.7</v>
      </c>
      <c r="J56" s="29">
        <v>13</v>
      </c>
      <c r="K56" s="29">
        <v>15.7</v>
      </c>
      <c r="L56" s="29">
        <v>13</v>
      </c>
      <c r="M56" s="29">
        <v>0</v>
      </c>
      <c r="N56" s="29">
        <f t="shared" si="6"/>
        <v>30.2</v>
      </c>
      <c r="O56" s="29">
        <f t="shared" si="7"/>
        <v>-36.299999999999997</v>
      </c>
      <c r="P56" s="29">
        <f t="shared" si="3"/>
        <v>0.3</v>
      </c>
      <c r="Q56" s="29">
        <v>13</v>
      </c>
      <c r="R56" s="29"/>
      <c r="S56" s="29">
        <v>13</v>
      </c>
      <c r="T56" s="29"/>
      <c r="U56" s="29">
        <v>13</v>
      </c>
      <c r="V56" s="29"/>
      <c r="W56" s="29">
        <v>13</v>
      </c>
      <c r="X56" s="29"/>
      <c r="Y56" s="29">
        <v>13</v>
      </c>
      <c r="Z56" s="29"/>
      <c r="AA56" s="29">
        <v>13</v>
      </c>
      <c r="AB56" s="29"/>
      <c r="AC56" s="29">
        <v>13</v>
      </c>
      <c r="AD56" s="29"/>
      <c r="AE56" s="29">
        <v>13</v>
      </c>
      <c r="AF56" s="29"/>
      <c r="AG56" s="29">
        <v>13</v>
      </c>
      <c r="AH56" s="29"/>
      <c r="AI56" s="60" t="s">
        <v>144</v>
      </c>
    </row>
    <row r="57" spans="2:35" ht="33" customHeight="1" x14ac:dyDescent="0.3">
      <c r="B57" s="19" t="s">
        <v>112</v>
      </c>
      <c r="C57" s="19" t="s">
        <v>41</v>
      </c>
      <c r="D57" s="28">
        <v>204.1</v>
      </c>
      <c r="E57" s="28">
        <v>80.3</v>
      </c>
      <c r="F57" s="28">
        <v>240.5</v>
      </c>
      <c r="G57" s="29">
        <v>186.2</v>
      </c>
      <c r="H57" s="29">
        <v>186.2</v>
      </c>
      <c r="I57" s="29">
        <v>128.9</v>
      </c>
      <c r="J57" s="29">
        <v>9.8000000000000007</v>
      </c>
      <c r="K57" s="29">
        <f>9.1+2.3</f>
        <v>11.4</v>
      </c>
      <c r="L57" s="29">
        <v>9.8000000000000007</v>
      </c>
      <c r="M57" s="29">
        <v>15.9</v>
      </c>
      <c r="N57" s="29">
        <f t="shared" si="6"/>
        <v>69.2</v>
      </c>
      <c r="O57" s="29">
        <f t="shared" si="7"/>
        <v>-57.3</v>
      </c>
      <c r="P57" s="29">
        <f t="shared" si="3"/>
        <v>0.7</v>
      </c>
      <c r="Q57" s="29">
        <v>44.1</v>
      </c>
      <c r="R57" s="29"/>
      <c r="S57" s="29">
        <v>9.8000000000000007</v>
      </c>
      <c r="T57" s="29"/>
      <c r="U57" s="29">
        <v>9.8000000000000007</v>
      </c>
      <c r="V57" s="29"/>
      <c r="W57" s="29">
        <v>9.8000000000000007</v>
      </c>
      <c r="X57" s="29"/>
      <c r="Y57" s="29">
        <v>9.8000000000000007</v>
      </c>
      <c r="Z57" s="29"/>
      <c r="AA57" s="29">
        <v>9.8000000000000007</v>
      </c>
      <c r="AB57" s="29"/>
      <c r="AC57" s="29">
        <v>44.1</v>
      </c>
      <c r="AD57" s="29"/>
      <c r="AE57" s="29">
        <v>9.8000000000000007</v>
      </c>
      <c r="AF57" s="29"/>
      <c r="AG57" s="29">
        <v>9.8000000000000007</v>
      </c>
      <c r="AH57" s="29"/>
      <c r="AI57" s="60" t="s">
        <v>147</v>
      </c>
    </row>
    <row r="58" spans="2:35" ht="40.5" customHeight="1" x14ac:dyDescent="0.3">
      <c r="B58" s="17" t="s">
        <v>58</v>
      </c>
      <c r="C58" s="20" t="s">
        <v>116</v>
      </c>
      <c r="D58" s="28"/>
      <c r="E58" s="28"/>
      <c r="F58" s="28"/>
      <c r="G58" s="29">
        <v>975.3</v>
      </c>
      <c r="H58" s="29">
        <v>975.3</v>
      </c>
      <c r="I58" s="29">
        <v>611.6</v>
      </c>
      <c r="J58" s="29">
        <v>264.3</v>
      </c>
      <c r="K58" s="29">
        <v>64.8</v>
      </c>
      <c r="L58" s="29">
        <v>1.5</v>
      </c>
      <c r="M58" s="29">
        <v>23.4</v>
      </c>
      <c r="N58" s="29">
        <f t="shared" si="6"/>
        <v>62.7</v>
      </c>
      <c r="O58" s="29">
        <f t="shared" si="7"/>
        <v>-363.7</v>
      </c>
      <c r="P58" s="29">
        <f t="shared" si="3"/>
        <v>0.6</v>
      </c>
      <c r="Q58" s="29">
        <v>204.6</v>
      </c>
      <c r="R58" s="29"/>
      <c r="S58" s="29">
        <v>1.5</v>
      </c>
      <c r="T58" s="29"/>
      <c r="U58" s="29">
        <v>18.8</v>
      </c>
      <c r="V58" s="29"/>
      <c r="W58" s="29">
        <v>237.6</v>
      </c>
      <c r="X58" s="29"/>
      <c r="Y58" s="29">
        <v>1.5</v>
      </c>
      <c r="Z58" s="29"/>
      <c r="AA58" s="29">
        <v>1.5</v>
      </c>
      <c r="AB58" s="29"/>
      <c r="AC58" s="29">
        <v>239.5</v>
      </c>
      <c r="AD58" s="29"/>
      <c r="AE58" s="29">
        <v>1.5</v>
      </c>
      <c r="AF58" s="29"/>
      <c r="AG58" s="29">
        <v>1.5</v>
      </c>
      <c r="AH58" s="29"/>
      <c r="AI58" s="60" t="s">
        <v>123</v>
      </c>
    </row>
    <row r="59" spans="2:35" s="3" customFormat="1" ht="30" customHeight="1" x14ac:dyDescent="0.3">
      <c r="B59" s="31" t="s">
        <v>59</v>
      </c>
      <c r="C59" s="20" t="s">
        <v>113</v>
      </c>
      <c r="D59" s="28">
        <v>69</v>
      </c>
      <c r="E59" s="28">
        <v>19.5</v>
      </c>
      <c r="F59" s="28">
        <v>124.1</v>
      </c>
      <c r="G59" s="29">
        <v>499.2</v>
      </c>
      <c r="H59" s="29">
        <v>499.2</v>
      </c>
      <c r="I59" s="29">
        <v>903.1</v>
      </c>
      <c r="J59" s="29">
        <v>41.6</v>
      </c>
      <c r="K59" s="29">
        <f>43.1+2.8</f>
        <v>45.9</v>
      </c>
      <c r="L59" s="29">
        <v>41.6</v>
      </c>
      <c r="M59" s="29">
        <v>77.099999999999994</v>
      </c>
      <c r="N59" s="29">
        <f t="shared" si="6"/>
        <v>180.9</v>
      </c>
      <c r="O59" s="29">
        <f t="shared" si="7"/>
        <v>403.9</v>
      </c>
      <c r="P59" s="26">
        <f t="shared" si="3"/>
        <v>1.8</v>
      </c>
      <c r="Q59" s="29">
        <v>41.6</v>
      </c>
      <c r="R59" s="29"/>
      <c r="S59" s="29">
        <v>41.6</v>
      </c>
      <c r="T59" s="29"/>
      <c r="U59" s="29">
        <v>41.6</v>
      </c>
      <c r="V59" s="29"/>
      <c r="W59" s="29">
        <v>41.6</v>
      </c>
      <c r="X59" s="29"/>
      <c r="Y59" s="29">
        <v>41.6</v>
      </c>
      <c r="Z59" s="29"/>
      <c r="AA59" s="29">
        <v>41.6</v>
      </c>
      <c r="AB59" s="29"/>
      <c r="AC59" s="29">
        <v>41.6</v>
      </c>
      <c r="AD59" s="29"/>
      <c r="AE59" s="29">
        <v>41.6</v>
      </c>
      <c r="AF59" s="29"/>
      <c r="AG59" s="29">
        <v>41.6</v>
      </c>
      <c r="AH59" s="29"/>
      <c r="AI59" s="65" t="s">
        <v>148</v>
      </c>
    </row>
    <row r="60" spans="2:35" ht="18" hidden="1" customHeight="1" x14ac:dyDescent="0.3">
      <c r="B60" s="23" t="s">
        <v>60</v>
      </c>
      <c r="C60" s="35" t="s">
        <v>62</v>
      </c>
      <c r="D60" s="28">
        <v>0</v>
      </c>
      <c r="E60" s="28">
        <v>400.1</v>
      </c>
      <c r="F60" s="28">
        <v>0</v>
      </c>
      <c r="G60" s="29" t="e">
        <f>H60+L60+N60+Q60+S60+U60+W60+Y60+AA60+AC60+AE60+AG60+AI60</f>
        <v>#DIV/0!</v>
      </c>
      <c r="H60" s="29">
        <v>0</v>
      </c>
      <c r="I60" s="29"/>
      <c r="J60" s="29">
        <v>0</v>
      </c>
      <c r="K60" s="29"/>
      <c r="L60" s="29">
        <v>0</v>
      </c>
      <c r="M60" s="29"/>
      <c r="N60" s="29" t="e">
        <f t="shared" si="6"/>
        <v>#DIV/0!</v>
      </c>
      <c r="O60" s="29">
        <f t="shared" si="7"/>
        <v>0</v>
      </c>
      <c r="P60" s="29"/>
      <c r="Q60" s="29">
        <v>0</v>
      </c>
      <c r="R60" s="29"/>
      <c r="S60" s="29">
        <v>0</v>
      </c>
      <c r="T60" s="29"/>
      <c r="U60" s="29">
        <v>0</v>
      </c>
      <c r="V60" s="29"/>
      <c r="W60" s="29">
        <v>0</v>
      </c>
      <c r="X60" s="29"/>
      <c r="Y60" s="29">
        <v>0</v>
      </c>
      <c r="Z60" s="29"/>
      <c r="AA60" s="29">
        <v>0</v>
      </c>
      <c r="AB60" s="29"/>
      <c r="AC60" s="29">
        <v>0</v>
      </c>
      <c r="AD60" s="26"/>
      <c r="AE60" s="29">
        <v>0</v>
      </c>
      <c r="AF60" s="29"/>
      <c r="AG60" s="29">
        <v>0</v>
      </c>
      <c r="AH60" s="29"/>
      <c r="AI60" s="56"/>
    </row>
    <row r="61" spans="2:35" s="68" customFormat="1" ht="29.25" customHeight="1" x14ac:dyDescent="0.3">
      <c r="B61" s="37" t="s">
        <v>45</v>
      </c>
      <c r="C61" s="38" t="s">
        <v>76</v>
      </c>
      <c r="D61" s="28">
        <f t="shared" ref="D61:M61" si="14">D10-D27</f>
        <v>-121.2</v>
      </c>
      <c r="E61" s="28">
        <f t="shared" si="14"/>
        <v>636.5</v>
      </c>
      <c r="F61" s="28">
        <f t="shared" si="14"/>
        <v>80.8</v>
      </c>
      <c r="G61" s="28">
        <f t="shared" si="14"/>
        <v>0</v>
      </c>
      <c r="H61" s="28">
        <f t="shared" si="14"/>
        <v>0</v>
      </c>
      <c r="I61" s="32">
        <f t="shared" si="14"/>
        <v>584.20000000000005</v>
      </c>
      <c r="J61" s="28">
        <f t="shared" si="14"/>
        <v>0</v>
      </c>
      <c r="K61" s="32">
        <f t="shared" si="14"/>
        <v>181</v>
      </c>
      <c r="L61" s="28">
        <f t="shared" si="14"/>
        <v>0</v>
      </c>
      <c r="M61" s="32">
        <f t="shared" si="14"/>
        <v>-28.6</v>
      </c>
      <c r="N61" s="28"/>
      <c r="O61" s="32">
        <f t="shared" si="7"/>
        <v>584.20000000000005</v>
      </c>
      <c r="P61" s="32"/>
      <c r="Q61" s="28">
        <f t="shared" ref="Q61:AH61" si="15">Q10-Q27</f>
        <v>0</v>
      </c>
      <c r="R61" s="32">
        <f t="shared" si="15"/>
        <v>0</v>
      </c>
      <c r="S61" s="28">
        <f t="shared" si="15"/>
        <v>0</v>
      </c>
      <c r="T61" s="32">
        <f t="shared" si="15"/>
        <v>0</v>
      </c>
      <c r="U61" s="28">
        <f t="shared" si="15"/>
        <v>0</v>
      </c>
      <c r="V61" s="32">
        <f t="shared" si="15"/>
        <v>0</v>
      </c>
      <c r="W61" s="28">
        <f t="shared" si="15"/>
        <v>0</v>
      </c>
      <c r="X61" s="32">
        <f t="shared" si="15"/>
        <v>0</v>
      </c>
      <c r="Y61" s="28">
        <f t="shared" si="15"/>
        <v>0</v>
      </c>
      <c r="Z61" s="32">
        <f t="shared" si="15"/>
        <v>0</v>
      </c>
      <c r="AA61" s="28">
        <f t="shared" si="15"/>
        <v>0</v>
      </c>
      <c r="AB61" s="32">
        <f t="shared" si="15"/>
        <v>0</v>
      </c>
      <c r="AC61" s="28">
        <f t="shared" si="15"/>
        <v>0</v>
      </c>
      <c r="AD61" s="32">
        <f t="shared" si="15"/>
        <v>0</v>
      </c>
      <c r="AE61" s="28">
        <f t="shared" si="15"/>
        <v>0</v>
      </c>
      <c r="AF61" s="28">
        <f t="shared" si="15"/>
        <v>0</v>
      </c>
      <c r="AG61" s="28">
        <f t="shared" si="15"/>
        <v>0</v>
      </c>
      <c r="AH61" s="28">
        <f t="shared" si="15"/>
        <v>0</v>
      </c>
      <c r="AI61" s="67"/>
    </row>
    <row r="62" spans="2:35" s="69" customFormat="1" ht="36.75" customHeight="1" x14ac:dyDescent="0.3">
      <c r="B62" s="19">
        <v>4</v>
      </c>
      <c r="C62" s="17" t="s">
        <v>79</v>
      </c>
      <c r="D62" s="39">
        <f>D63+D64+D65+D66</f>
        <v>247.5</v>
      </c>
      <c r="E62" s="39">
        <f>E63+E64+E65+E66</f>
        <v>777.3</v>
      </c>
      <c r="F62" s="39"/>
      <c r="G62" s="40">
        <f>0</f>
        <v>0</v>
      </c>
      <c r="H62" s="40">
        <f>H63+H64+H65</f>
        <v>0</v>
      </c>
      <c r="I62" s="40">
        <v>195</v>
      </c>
      <c r="J62" s="40"/>
      <c r="K62" s="40"/>
      <c r="L62" s="40">
        <f>L63+L64+L65</f>
        <v>37</v>
      </c>
      <c r="M62" s="40"/>
      <c r="N62" s="40"/>
      <c r="O62" s="40">
        <v>195</v>
      </c>
      <c r="P62" s="40"/>
      <c r="Q62" s="39">
        <f>Q63+Q64+Q65+Q66</f>
        <v>65</v>
      </c>
      <c r="R62" s="39"/>
      <c r="S62" s="39">
        <f t="shared" ref="S62:AG62" si="16">S63+S64+S65+S66</f>
        <v>25</v>
      </c>
      <c r="T62" s="39"/>
      <c r="U62" s="39">
        <f t="shared" si="16"/>
        <v>38</v>
      </c>
      <c r="V62" s="39"/>
      <c r="W62" s="39">
        <f t="shared" si="16"/>
        <v>23</v>
      </c>
      <c r="X62" s="39"/>
      <c r="Y62" s="39">
        <f t="shared" si="16"/>
        <v>0</v>
      </c>
      <c r="Z62" s="39"/>
      <c r="AA62" s="39">
        <f t="shared" si="16"/>
        <v>0</v>
      </c>
      <c r="AB62" s="39"/>
      <c r="AC62" s="39">
        <f t="shared" si="16"/>
        <v>0</v>
      </c>
      <c r="AD62" s="39"/>
      <c r="AE62" s="39">
        <f t="shared" si="16"/>
        <v>0</v>
      </c>
      <c r="AF62" s="39"/>
      <c r="AG62" s="39">
        <f t="shared" si="16"/>
        <v>0</v>
      </c>
      <c r="AH62" s="41"/>
    </row>
    <row r="63" spans="2:35" s="69" customFormat="1" ht="18.75" customHeight="1" x14ac:dyDescent="0.3">
      <c r="B63" s="23" t="s">
        <v>46</v>
      </c>
      <c r="C63" s="19" t="s">
        <v>51</v>
      </c>
      <c r="D63" s="39">
        <v>60</v>
      </c>
      <c r="E63" s="39">
        <v>18</v>
      </c>
      <c r="F63" s="39"/>
      <c r="G63" s="40">
        <f>0</f>
        <v>0</v>
      </c>
      <c r="H63" s="40">
        <v>0</v>
      </c>
      <c r="I63" s="40">
        <v>195</v>
      </c>
      <c r="J63" s="40"/>
      <c r="K63" s="40"/>
      <c r="L63" s="40">
        <v>37</v>
      </c>
      <c r="M63" s="40"/>
      <c r="N63" s="40"/>
      <c r="O63" s="40">
        <v>195</v>
      </c>
      <c r="P63" s="40"/>
      <c r="Q63" s="40">
        <v>0</v>
      </c>
      <c r="R63" s="40"/>
      <c r="S63" s="40">
        <v>0</v>
      </c>
      <c r="T63" s="40"/>
      <c r="U63" s="40">
        <v>0</v>
      </c>
      <c r="V63" s="40"/>
      <c r="W63" s="40">
        <v>23</v>
      </c>
      <c r="X63" s="40"/>
      <c r="Y63" s="40">
        <v>0</v>
      </c>
      <c r="Z63" s="40"/>
      <c r="AA63" s="40">
        <v>0</v>
      </c>
      <c r="AB63" s="40"/>
      <c r="AC63" s="40">
        <v>0</v>
      </c>
      <c r="AD63" s="40"/>
      <c r="AE63" s="40">
        <v>0</v>
      </c>
      <c r="AF63" s="40"/>
      <c r="AG63" s="40">
        <v>0</v>
      </c>
      <c r="AH63" s="42"/>
    </row>
    <row r="64" spans="2:35" s="69" customFormat="1" ht="21.75" customHeight="1" x14ac:dyDescent="0.3">
      <c r="B64" s="23" t="s">
        <v>47</v>
      </c>
      <c r="C64" s="19" t="s">
        <v>81</v>
      </c>
      <c r="D64" s="39">
        <v>97.5</v>
      </c>
      <c r="E64" s="39">
        <v>314</v>
      </c>
      <c r="F64" s="39"/>
      <c r="G64" s="40">
        <v>0</v>
      </c>
      <c r="H64" s="40">
        <v>0</v>
      </c>
      <c r="I64" s="40">
        <v>0</v>
      </c>
      <c r="J64" s="40"/>
      <c r="K64" s="40"/>
      <c r="L64" s="40">
        <v>0</v>
      </c>
      <c r="M64" s="40"/>
      <c r="N64" s="40"/>
      <c r="O64" s="40">
        <v>0</v>
      </c>
      <c r="P64" s="40"/>
      <c r="Q64" s="40">
        <v>0</v>
      </c>
      <c r="R64" s="40"/>
      <c r="S64" s="40">
        <v>0</v>
      </c>
      <c r="T64" s="40"/>
      <c r="U64" s="40">
        <v>38</v>
      </c>
      <c r="V64" s="40"/>
      <c r="W64" s="40">
        <v>0</v>
      </c>
      <c r="X64" s="40"/>
      <c r="Y64" s="40">
        <v>0</v>
      </c>
      <c r="Z64" s="40"/>
      <c r="AA64" s="40">
        <v>0</v>
      </c>
      <c r="AB64" s="40"/>
      <c r="AC64" s="40">
        <v>0</v>
      </c>
      <c r="AD64" s="40"/>
      <c r="AE64" s="40">
        <v>0</v>
      </c>
      <c r="AF64" s="40"/>
      <c r="AG64" s="40">
        <v>0</v>
      </c>
      <c r="AH64" s="42"/>
    </row>
    <row r="65" spans="2:34" s="69" customFormat="1" ht="1.5" hidden="1" customHeight="1" x14ac:dyDescent="0.3">
      <c r="B65" s="23" t="s">
        <v>48</v>
      </c>
      <c r="C65" s="19" t="s">
        <v>74</v>
      </c>
      <c r="D65" s="39">
        <v>90</v>
      </c>
      <c r="E65" s="39">
        <v>40.9</v>
      </c>
      <c r="F65" s="39"/>
      <c r="G65" s="40">
        <v>0</v>
      </c>
      <c r="H65" s="40">
        <v>0</v>
      </c>
      <c r="I65" s="40"/>
      <c r="J65" s="40"/>
      <c r="K65" s="40"/>
      <c r="L65" s="40">
        <v>0</v>
      </c>
      <c r="M65" s="40"/>
      <c r="N65" s="40">
        <v>0</v>
      </c>
      <c r="O65" s="40"/>
      <c r="P65" s="40"/>
      <c r="Q65" s="40">
        <v>65</v>
      </c>
      <c r="R65" s="40"/>
      <c r="S65" s="40">
        <v>25</v>
      </c>
      <c r="T65" s="40"/>
      <c r="U65" s="40">
        <v>0</v>
      </c>
      <c r="V65" s="40"/>
      <c r="W65" s="40">
        <v>0</v>
      </c>
      <c r="X65" s="40"/>
      <c r="Y65" s="40">
        <v>0</v>
      </c>
      <c r="Z65" s="40"/>
      <c r="AA65" s="40">
        <v>0</v>
      </c>
      <c r="AB65" s="40"/>
      <c r="AC65" s="40">
        <v>0</v>
      </c>
      <c r="AD65" s="40"/>
      <c r="AE65" s="40">
        <v>0</v>
      </c>
      <c r="AF65" s="40"/>
      <c r="AG65" s="40">
        <v>0</v>
      </c>
      <c r="AH65" s="42"/>
    </row>
    <row r="66" spans="2:34" s="3" customFormat="1" ht="19.5" customHeight="1" x14ac:dyDescent="0.3">
      <c r="B66" s="23" t="s">
        <v>77</v>
      </c>
      <c r="C66" s="20" t="s">
        <v>80</v>
      </c>
      <c r="D66" s="39">
        <v>0</v>
      </c>
      <c r="E66" s="39">
        <v>404.4</v>
      </c>
      <c r="F66" s="39"/>
      <c r="G66" s="40">
        <f>H66+L66+N66+Q66+S66+U66+W66+Y66+AA66+AC66+AE66+AG66</f>
        <v>0</v>
      </c>
      <c r="H66" s="43">
        <v>0</v>
      </c>
      <c r="I66" s="43">
        <v>0</v>
      </c>
      <c r="J66" s="43"/>
      <c r="K66" s="43"/>
      <c r="L66" s="43">
        <v>0</v>
      </c>
      <c r="M66" s="43"/>
      <c r="N66" s="43"/>
      <c r="O66" s="43">
        <v>0</v>
      </c>
      <c r="P66" s="43"/>
      <c r="Q66" s="43">
        <v>0</v>
      </c>
      <c r="R66" s="43"/>
      <c r="S66" s="43">
        <v>0</v>
      </c>
      <c r="T66" s="43"/>
      <c r="U66" s="43">
        <v>0</v>
      </c>
      <c r="V66" s="43"/>
      <c r="W66" s="43">
        <v>0</v>
      </c>
      <c r="X66" s="43"/>
      <c r="Y66" s="43">
        <v>0</v>
      </c>
      <c r="Z66" s="43"/>
      <c r="AA66" s="43">
        <v>0</v>
      </c>
      <c r="AB66" s="43"/>
      <c r="AC66" s="43">
        <v>0</v>
      </c>
      <c r="AD66" s="43"/>
      <c r="AE66" s="43">
        <v>0</v>
      </c>
      <c r="AF66" s="43"/>
      <c r="AG66" s="43">
        <v>0</v>
      </c>
      <c r="AH66" s="44"/>
    </row>
    <row r="67" spans="2:34" x14ac:dyDescent="0.3">
      <c r="C67" s="45"/>
      <c r="D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U67" s="3"/>
      <c r="V67" s="47"/>
      <c r="AC67" s="45"/>
      <c r="AD67" s="45"/>
    </row>
    <row r="68" spans="2:34" x14ac:dyDescent="0.3">
      <c r="C68" s="4"/>
      <c r="D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U68" s="3"/>
      <c r="V68" s="47"/>
    </row>
    <row r="69" spans="2:34" x14ac:dyDescent="0.3">
      <c r="C69" s="4"/>
      <c r="D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U69" s="3"/>
      <c r="V69" s="47"/>
    </row>
    <row r="70" spans="2:34" x14ac:dyDescent="0.3">
      <c r="C70" s="4"/>
      <c r="D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U70" s="3"/>
      <c r="V70" s="47"/>
    </row>
    <row r="71" spans="2:34" x14ac:dyDescent="0.3">
      <c r="C71" s="4"/>
      <c r="D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U71" s="3"/>
      <c r="V71" s="47"/>
    </row>
    <row r="72" spans="2:34" x14ac:dyDescent="0.3">
      <c r="C72" s="4"/>
      <c r="D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U72" s="3"/>
      <c r="V72" s="47"/>
    </row>
    <row r="73" spans="2:34" x14ac:dyDescent="0.3">
      <c r="C73" s="4"/>
      <c r="D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U73" s="3"/>
      <c r="V73" s="47"/>
    </row>
    <row r="74" spans="2:34" x14ac:dyDescent="0.3">
      <c r="C74" s="4"/>
      <c r="D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U74" s="3"/>
      <c r="V74" s="47"/>
    </row>
    <row r="75" spans="2:34" x14ac:dyDescent="0.3">
      <c r="C75" s="4"/>
      <c r="D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U75" s="3"/>
      <c r="V75" s="47"/>
    </row>
    <row r="76" spans="2:34" x14ac:dyDescent="0.3">
      <c r="C76" s="4"/>
      <c r="D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U76" s="3"/>
      <c r="V76" s="47"/>
    </row>
    <row r="77" spans="2:34" x14ac:dyDescent="0.3">
      <c r="C77" s="4"/>
      <c r="D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U77" s="3"/>
      <c r="V77" s="47"/>
    </row>
    <row r="78" spans="2:34" x14ac:dyDescent="0.3">
      <c r="C78" s="4"/>
      <c r="D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U78" s="3"/>
      <c r="V78" s="47"/>
    </row>
    <row r="79" spans="2:34" x14ac:dyDescent="0.3">
      <c r="C79" s="4"/>
      <c r="D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U79" s="3"/>
      <c r="V79" s="47"/>
    </row>
    <row r="80" spans="2:34" x14ac:dyDescent="0.3">
      <c r="C80" s="4"/>
      <c r="D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U80" s="3"/>
      <c r="V80" s="47"/>
    </row>
    <row r="81" spans="3:22" x14ac:dyDescent="0.3">
      <c r="C81" s="4"/>
      <c r="D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U81" s="3"/>
      <c r="V81" s="47"/>
    </row>
    <row r="82" spans="3:22" x14ac:dyDescent="0.3">
      <c r="C82" s="4"/>
      <c r="D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U82" s="3"/>
      <c r="V82" s="47"/>
    </row>
    <row r="83" spans="3:22" x14ac:dyDescent="0.3">
      <c r="C83" s="4"/>
      <c r="D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U83" s="3"/>
      <c r="V83" s="47"/>
    </row>
    <row r="84" spans="3:22" x14ac:dyDescent="0.3">
      <c r="C84" s="4"/>
      <c r="D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U84" s="3"/>
      <c r="V84" s="47"/>
    </row>
    <row r="85" spans="3:22" x14ac:dyDescent="0.3">
      <c r="C85" s="4"/>
      <c r="D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U85" s="3"/>
      <c r="V85" s="47"/>
    </row>
    <row r="86" spans="3:22" x14ac:dyDescent="0.3">
      <c r="C86" s="4"/>
      <c r="D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U86" s="3"/>
      <c r="V86" s="47"/>
    </row>
    <row r="87" spans="3:22" x14ac:dyDescent="0.3">
      <c r="C87" s="4"/>
      <c r="D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U87" s="3"/>
      <c r="V87" s="47"/>
    </row>
    <row r="88" spans="3:22" x14ac:dyDescent="0.3">
      <c r="C88" s="4"/>
      <c r="D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U88" s="3"/>
      <c r="V88" s="47"/>
    </row>
    <row r="89" spans="3:22" x14ac:dyDescent="0.3">
      <c r="C89" s="4"/>
      <c r="D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U89" s="3"/>
      <c r="V89" s="47"/>
    </row>
    <row r="90" spans="3:22" x14ac:dyDescent="0.3">
      <c r="C90" s="4"/>
      <c r="D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U90" s="3"/>
      <c r="V90" s="47"/>
    </row>
    <row r="91" spans="3:22" x14ac:dyDescent="0.3">
      <c r="C91" s="4"/>
      <c r="D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U91" s="3"/>
      <c r="V91" s="47"/>
    </row>
    <row r="92" spans="3:22" x14ac:dyDescent="0.3">
      <c r="C92" s="4"/>
      <c r="D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U92" s="3"/>
      <c r="V92" s="47"/>
    </row>
    <row r="93" spans="3:22" x14ac:dyDescent="0.3">
      <c r="C93" s="4"/>
      <c r="D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U93" s="3"/>
      <c r="V93" s="47"/>
    </row>
    <row r="94" spans="3:22" x14ac:dyDescent="0.3">
      <c r="C94" s="4"/>
      <c r="D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U94" s="3"/>
      <c r="V94" s="47"/>
    </row>
    <row r="95" spans="3:22" x14ac:dyDescent="0.3">
      <c r="C95" s="4"/>
      <c r="D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U95" s="3"/>
      <c r="V95" s="47"/>
    </row>
    <row r="96" spans="3:22" x14ac:dyDescent="0.3">
      <c r="C96" s="4"/>
      <c r="D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U96" s="3"/>
      <c r="V96" s="47"/>
    </row>
    <row r="97" spans="3:22" x14ac:dyDescent="0.3">
      <c r="C97" s="4"/>
      <c r="D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U97" s="3"/>
      <c r="V97" s="47"/>
    </row>
    <row r="98" spans="3:22" x14ac:dyDescent="0.3">
      <c r="C98" s="4"/>
      <c r="D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U98" s="3"/>
      <c r="V98" s="47"/>
    </row>
    <row r="99" spans="3:22" x14ac:dyDescent="0.3">
      <c r="C99" s="4"/>
      <c r="D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U99" s="3"/>
      <c r="V99" s="47"/>
    </row>
    <row r="100" spans="3:22" x14ac:dyDescent="0.3">
      <c r="C100" s="4"/>
      <c r="D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U100" s="3"/>
      <c r="V100" s="47"/>
    </row>
    <row r="101" spans="3:22" x14ac:dyDescent="0.3">
      <c r="C101" s="4"/>
      <c r="D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U101" s="3"/>
      <c r="V101" s="47"/>
    </row>
    <row r="102" spans="3:22" x14ac:dyDescent="0.3">
      <c r="C102" s="4"/>
      <c r="D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U102" s="3"/>
      <c r="V102" s="47"/>
    </row>
    <row r="103" spans="3:22" x14ac:dyDescent="0.3">
      <c r="C103" s="4"/>
      <c r="D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U103" s="3"/>
      <c r="V103" s="47"/>
    </row>
    <row r="104" spans="3:22" x14ac:dyDescent="0.3">
      <c r="C104" s="4"/>
      <c r="D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U104" s="3"/>
      <c r="V104" s="47"/>
    </row>
    <row r="105" spans="3:22" x14ac:dyDescent="0.3">
      <c r="C105" s="4"/>
      <c r="D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U105" s="3"/>
      <c r="V105" s="47"/>
    </row>
    <row r="106" spans="3:22" x14ac:dyDescent="0.3">
      <c r="C106" s="4"/>
      <c r="D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U106" s="3"/>
      <c r="V106" s="47"/>
    </row>
    <row r="107" spans="3:22" x14ac:dyDescent="0.3">
      <c r="C107" s="4"/>
      <c r="D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U107" s="3"/>
      <c r="V107" s="47"/>
    </row>
    <row r="108" spans="3:22" x14ac:dyDescent="0.3">
      <c r="C108" s="4"/>
      <c r="D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U108" s="3"/>
      <c r="V108" s="47"/>
    </row>
    <row r="109" spans="3:22" x14ac:dyDescent="0.3">
      <c r="C109" s="4"/>
      <c r="D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U109" s="3"/>
      <c r="V109" s="47"/>
    </row>
    <row r="110" spans="3:22" x14ac:dyDescent="0.3">
      <c r="C110" s="4"/>
      <c r="D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U110" s="3"/>
      <c r="V110" s="47"/>
    </row>
    <row r="111" spans="3:22" x14ac:dyDescent="0.3">
      <c r="C111" s="4"/>
      <c r="D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U111" s="3"/>
      <c r="V111" s="47"/>
    </row>
    <row r="112" spans="3:22" x14ac:dyDescent="0.3">
      <c r="C112" s="4"/>
      <c r="D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U112" s="3"/>
      <c r="V112" s="47"/>
    </row>
    <row r="113" spans="3:34" x14ac:dyDescent="0.3">
      <c r="C113" s="4"/>
      <c r="D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U113" s="3"/>
      <c r="V113" s="47"/>
    </row>
    <row r="114" spans="3:34" x14ac:dyDescent="0.3">
      <c r="C114" s="4"/>
      <c r="D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U114" s="3"/>
      <c r="V114" s="47"/>
    </row>
    <row r="115" spans="3:34" x14ac:dyDescent="0.3">
      <c r="C115" s="4"/>
      <c r="D115" s="4"/>
      <c r="G115" s="70"/>
      <c r="H115" s="71">
        <f>(H28-(H28*0.195))*0.0025</f>
        <v>39.56</v>
      </c>
      <c r="I115" s="71"/>
      <c r="J115" s="71"/>
      <c r="K115" s="71"/>
      <c r="L115" s="71">
        <f>(L28-(L28*0.195))*0.0025</f>
        <v>3.09</v>
      </c>
      <c r="M115" s="71"/>
      <c r="N115" s="71">
        <f>(N28-(N28*0.195))*0.0025</f>
        <v>0.2</v>
      </c>
      <c r="O115" s="71"/>
      <c r="P115" s="71"/>
      <c r="Q115" s="71">
        <f>(Q28-(Q28*0.195))*0.0025</f>
        <v>3.17</v>
      </c>
      <c r="R115" s="71"/>
      <c r="S115" s="71">
        <f>(S28-(S28*0.195))*0.0025</f>
        <v>3.17</v>
      </c>
      <c r="T115" s="71"/>
      <c r="U115" s="71">
        <f>(U28-(U28*0.195))*0.0025</f>
        <v>3.18</v>
      </c>
      <c r="V115" s="72"/>
      <c r="W115" s="71">
        <f>(W28-(W28*0.195))*0.0025</f>
        <v>3.19</v>
      </c>
      <c r="X115" s="71"/>
      <c r="Y115" s="71">
        <f>(Y28-(Y28*0.195))*0.0025</f>
        <v>3.19</v>
      </c>
      <c r="Z115" s="71"/>
      <c r="AA115" s="71">
        <f>(AA28-(AA28*0.195))*0.0025</f>
        <v>3.19</v>
      </c>
      <c r="AB115" s="71"/>
      <c r="AC115" s="71">
        <f>(AC28-(AC28*0.195))*0.0025</f>
        <v>3.19</v>
      </c>
      <c r="AD115" s="71"/>
      <c r="AE115" s="71">
        <f>(AE28-(AE28*0.195))*0.0025</f>
        <v>3.19</v>
      </c>
      <c r="AF115" s="71"/>
      <c r="AG115" s="71">
        <f>(AG28-(AG28*0.195))*0.0025</f>
        <v>3.19</v>
      </c>
      <c r="AH115" s="71"/>
    </row>
    <row r="116" spans="3:34" x14ac:dyDescent="0.3">
      <c r="G116" s="2"/>
      <c r="H116" s="71">
        <f>H46*0.003</f>
        <v>7.0000000000000007E-2</v>
      </c>
      <c r="I116" s="71"/>
      <c r="J116" s="71"/>
      <c r="K116" s="71"/>
      <c r="L116" s="71">
        <f>L46*0.003</f>
        <v>0.01</v>
      </c>
      <c r="M116" s="71"/>
      <c r="N116" s="71">
        <f>N46*0.003</f>
        <v>0.06</v>
      </c>
      <c r="O116" s="71"/>
      <c r="P116" s="71"/>
      <c r="Q116" s="71">
        <f>Q46*0.003</f>
        <v>0.01</v>
      </c>
      <c r="R116" s="71"/>
      <c r="S116" s="71">
        <f>S46*0.003</f>
        <v>0.01</v>
      </c>
      <c r="T116" s="71"/>
      <c r="U116" s="71">
        <f>U46*0.003</f>
        <v>0.01</v>
      </c>
      <c r="V116" s="72"/>
      <c r="W116" s="71">
        <f>W46*0.003</f>
        <v>0.01</v>
      </c>
      <c r="X116" s="71"/>
      <c r="Y116" s="71">
        <f>Y46*0.003</f>
        <v>0.01</v>
      </c>
      <c r="Z116" s="71"/>
      <c r="AA116" s="71">
        <f>AA46*0.003</f>
        <v>0.01</v>
      </c>
      <c r="AB116" s="71"/>
      <c r="AC116" s="71">
        <f>AC46*0.003</f>
        <v>0.01</v>
      </c>
      <c r="AD116" s="71"/>
      <c r="AE116" s="71">
        <f>AE46*0.003</f>
        <v>0.01</v>
      </c>
      <c r="AF116" s="71"/>
      <c r="AG116" s="71">
        <f>AG46*0.003</f>
        <v>0.01</v>
      </c>
      <c r="AH116" s="71"/>
    </row>
    <row r="117" spans="3:34" x14ac:dyDescent="0.3">
      <c r="G117" s="2"/>
      <c r="H117" s="2">
        <v>0.1</v>
      </c>
      <c r="I117" s="2"/>
      <c r="J117" s="2"/>
      <c r="K117" s="2"/>
      <c r="L117" s="2">
        <v>0.1</v>
      </c>
      <c r="M117" s="2"/>
      <c r="N117" s="2">
        <v>0.1</v>
      </c>
      <c r="O117" s="2"/>
      <c r="P117" s="2"/>
      <c r="Q117" s="2">
        <v>0.1</v>
      </c>
      <c r="R117" s="2"/>
      <c r="S117" s="2">
        <v>0.1</v>
      </c>
      <c r="T117" s="2"/>
      <c r="U117" s="2">
        <v>0.1</v>
      </c>
      <c r="V117" s="46"/>
      <c r="W117" s="2">
        <v>0.1</v>
      </c>
      <c r="X117" s="2"/>
      <c r="Y117" s="2">
        <v>0.1</v>
      </c>
      <c r="Z117" s="2"/>
      <c r="AA117" s="2">
        <v>0.1</v>
      </c>
      <c r="AB117" s="2"/>
      <c r="AC117" s="2">
        <v>0.1</v>
      </c>
      <c r="AD117" s="2"/>
      <c r="AE117" s="2">
        <v>0.1</v>
      </c>
      <c r="AF117" s="2"/>
      <c r="AG117" s="2">
        <v>0.1</v>
      </c>
      <c r="AH117" s="2"/>
    </row>
    <row r="118" spans="3:34" x14ac:dyDescent="0.3">
      <c r="G118" s="2"/>
      <c r="H118" s="2">
        <v>0.08</v>
      </c>
      <c r="I118" s="2"/>
      <c r="J118" s="2"/>
      <c r="K118" s="2"/>
      <c r="L118" s="2">
        <v>0.08</v>
      </c>
      <c r="M118" s="2"/>
      <c r="N118" s="2">
        <v>0.08</v>
      </c>
      <c r="O118" s="2"/>
      <c r="P118" s="2"/>
      <c r="Q118" s="2">
        <v>0.08</v>
      </c>
      <c r="R118" s="2"/>
      <c r="S118" s="2">
        <v>0.08</v>
      </c>
      <c r="T118" s="2"/>
      <c r="U118" s="2">
        <v>0.08</v>
      </c>
      <c r="V118" s="46"/>
      <c r="W118" s="2">
        <v>0.08</v>
      </c>
      <c r="X118" s="2"/>
      <c r="Y118" s="2">
        <v>0.08</v>
      </c>
      <c r="Z118" s="2"/>
      <c r="AA118" s="2">
        <v>0.08</v>
      </c>
      <c r="AB118" s="2"/>
      <c r="AC118" s="2">
        <v>0.08</v>
      </c>
      <c r="AD118" s="2"/>
      <c r="AE118" s="2">
        <v>0.08</v>
      </c>
      <c r="AF118" s="2"/>
      <c r="AG118" s="2">
        <v>0.08</v>
      </c>
      <c r="AH118" s="2"/>
    </row>
    <row r="119" spans="3:34" x14ac:dyDescent="0.3">
      <c r="G119" s="2"/>
      <c r="H119" s="71">
        <f>SUM(H115:H118)</f>
        <v>39.81</v>
      </c>
      <c r="I119" s="71"/>
      <c r="J119" s="71"/>
      <c r="K119" s="71"/>
      <c r="L119" s="71">
        <f t="shared" ref="L119:AG119" si="17">SUM(L115:L118)</f>
        <v>3.28</v>
      </c>
      <c r="M119" s="71"/>
      <c r="N119" s="71">
        <f t="shared" si="17"/>
        <v>0.44</v>
      </c>
      <c r="O119" s="71"/>
      <c r="P119" s="71"/>
      <c r="Q119" s="71">
        <f t="shared" si="17"/>
        <v>3.36</v>
      </c>
      <c r="R119" s="71"/>
      <c r="S119" s="71">
        <f t="shared" si="17"/>
        <v>3.36</v>
      </c>
      <c r="T119" s="71"/>
      <c r="U119" s="71">
        <f t="shared" si="17"/>
        <v>3.37</v>
      </c>
      <c r="V119" s="72"/>
      <c r="W119" s="71">
        <f t="shared" si="17"/>
        <v>3.38</v>
      </c>
      <c r="X119" s="71"/>
      <c r="Y119" s="71">
        <f t="shared" si="17"/>
        <v>3.38</v>
      </c>
      <c r="Z119" s="71"/>
      <c r="AA119" s="71">
        <f t="shared" si="17"/>
        <v>3.38</v>
      </c>
      <c r="AB119" s="71"/>
      <c r="AC119" s="71">
        <f t="shared" si="17"/>
        <v>3.38</v>
      </c>
      <c r="AD119" s="71"/>
      <c r="AE119" s="71">
        <f t="shared" si="17"/>
        <v>3.38</v>
      </c>
      <c r="AF119" s="71"/>
      <c r="AG119" s="71">
        <f t="shared" si="17"/>
        <v>3.38</v>
      </c>
      <c r="AH119" s="71"/>
    </row>
    <row r="120" spans="3:34" x14ac:dyDescent="0.3">
      <c r="G120" s="2"/>
      <c r="H120" s="71">
        <f>H49</f>
        <v>2.4</v>
      </c>
      <c r="I120" s="71"/>
      <c r="J120" s="71"/>
      <c r="K120" s="71"/>
      <c r="L120" s="71">
        <f>L49</f>
        <v>0.2</v>
      </c>
      <c r="M120" s="71"/>
      <c r="N120" s="71">
        <f>N49</f>
        <v>66.7</v>
      </c>
      <c r="O120" s="71"/>
      <c r="P120" s="71"/>
      <c r="Q120" s="71">
        <f>Q49</f>
        <v>0.2</v>
      </c>
      <c r="R120" s="71"/>
      <c r="S120" s="71">
        <f>S49</f>
        <v>0.2</v>
      </c>
      <c r="T120" s="71"/>
      <c r="U120" s="71">
        <f>U49</f>
        <v>0.2</v>
      </c>
      <c r="V120" s="72"/>
      <c r="W120" s="71">
        <f>W49</f>
        <v>0.2</v>
      </c>
      <c r="X120" s="71"/>
      <c r="Y120" s="71">
        <f>Y49</f>
        <v>0.2</v>
      </c>
      <c r="Z120" s="71"/>
      <c r="AA120" s="71">
        <f>AA49</f>
        <v>0.2</v>
      </c>
      <c r="AB120" s="71"/>
      <c r="AC120" s="71">
        <f>AC49</f>
        <v>0.2</v>
      </c>
      <c r="AD120" s="71"/>
      <c r="AE120" s="71">
        <f>AE49</f>
        <v>0.2</v>
      </c>
      <c r="AF120" s="71"/>
      <c r="AG120" s="71">
        <f>AG49</f>
        <v>0.2</v>
      </c>
      <c r="AH120" s="71"/>
    </row>
    <row r="121" spans="3:34" x14ac:dyDescent="0.3">
      <c r="G121" s="2"/>
      <c r="H121" s="71">
        <f>H119-H120</f>
        <v>37.409999999999997</v>
      </c>
      <c r="I121" s="71"/>
      <c r="J121" s="71"/>
      <c r="K121" s="71"/>
      <c r="L121" s="71">
        <f t="shared" ref="L121:AG121" si="18">L119-L120</f>
        <v>3.08</v>
      </c>
      <c r="M121" s="71"/>
      <c r="N121" s="71">
        <f t="shared" si="18"/>
        <v>-66.260000000000005</v>
      </c>
      <c r="O121" s="71"/>
      <c r="P121" s="71"/>
      <c r="Q121" s="71">
        <f t="shared" si="18"/>
        <v>3.16</v>
      </c>
      <c r="R121" s="71"/>
      <c r="S121" s="71">
        <f t="shared" si="18"/>
        <v>3.16</v>
      </c>
      <c r="T121" s="71"/>
      <c r="U121" s="71">
        <f t="shared" si="18"/>
        <v>3.17</v>
      </c>
      <c r="V121" s="72"/>
      <c r="W121" s="71">
        <f t="shared" si="18"/>
        <v>3.18</v>
      </c>
      <c r="X121" s="71"/>
      <c r="Y121" s="71">
        <f t="shared" si="18"/>
        <v>3.18</v>
      </c>
      <c r="Z121" s="71"/>
      <c r="AA121" s="71">
        <f t="shared" si="18"/>
        <v>3.18</v>
      </c>
      <c r="AB121" s="71"/>
      <c r="AC121" s="71">
        <f t="shared" si="18"/>
        <v>3.18</v>
      </c>
      <c r="AD121" s="71"/>
      <c r="AE121" s="71">
        <f t="shared" si="18"/>
        <v>3.18</v>
      </c>
      <c r="AF121" s="71"/>
      <c r="AG121" s="71">
        <f t="shared" si="18"/>
        <v>3.18</v>
      </c>
      <c r="AH121" s="71"/>
    </row>
    <row r="122" spans="3:34" x14ac:dyDescent="0.3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34" x14ac:dyDescent="0.3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34" x14ac:dyDescent="0.3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34" x14ac:dyDescent="0.3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34" x14ac:dyDescent="0.3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34" x14ac:dyDescent="0.3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34" x14ac:dyDescent="0.3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22" x14ac:dyDescent="0.3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22" x14ac:dyDescent="0.3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22" x14ac:dyDescent="0.3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22" s="2" customFormat="1" x14ac:dyDescent="0.3">
      <c r="C132" s="1"/>
      <c r="V132" s="46"/>
    </row>
    <row r="133" spans="3:22" s="2" customFormat="1" x14ac:dyDescent="0.3">
      <c r="C133" s="1"/>
      <c r="V133" s="46"/>
    </row>
    <row r="134" spans="3:22" s="2" customFormat="1" x14ac:dyDescent="0.3">
      <c r="C134" s="1"/>
      <c r="V134" s="46"/>
    </row>
    <row r="135" spans="3:22" s="2" customFormat="1" x14ac:dyDescent="0.3">
      <c r="V135" s="46"/>
    </row>
    <row r="136" spans="3:22" s="2" customFormat="1" x14ac:dyDescent="0.3">
      <c r="V136" s="46"/>
    </row>
    <row r="137" spans="3:22" s="2" customFormat="1" x14ac:dyDescent="0.3">
      <c r="V137" s="46"/>
    </row>
    <row r="138" spans="3:22" s="2" customFormat="1" x14ac:dyDescent="0.3">
      <c r="V138" s="46"/>
    </row>
    <row r="139" spans="3:22" s="2" customFormat="1" x14ac:dyDescent="0.3">
      <c r="V139" s="46"/>
    </row>
    <row r="140" spans="3:22" s="2" customFormat="1" x14ac:dyDescent="0.3">
      <c r="V140" s="46"/>
    </row>
    <row r="141" spans="3:22" s="2" customFormat="1" x14ac:dyDescent="0.3">
      <c r="V141" s="46"/>
    </row>
    <row r="142" spans="3:22" s="2" customFormat="1" x14ac:dyDescent="0.3">
      <c r="V142" s="46"/>
    </row>
    <row r="143" spans="3:22" s="2" customFormat="1" x14ac:dyDescent="0.3">
      <c r="V143" s="46"/>
    </row>
    <row r="144" spans="3:22" s="2" customFormat="1" x14ac:dyDescent="0.3">
      <c r="V144" s="46"/>
    </row>
    <row r="145" spans="22:22" s="2" customFormat="1" x14ac:dyDescent="0.3">
      <c r="V145" s="46"/>
    </row>
    <row r="146" spans="22:22" s="2" customFormat="1" x14ac:dyDescent="0.3">
      <c r="V146" s="46"/>
    </row>
    <row r="147" spans="22:22" s="2" customFormat="1" x14ac:dyDescent="0.3">
      <c r="V147" s="46"/>
    </row>
    <row r="148" spans="22:22" s="2" customFormat="1" x14ac:dyDescent="0.3">
      <c r="V148" s="46"/>
    </row>
    <row r="149" spans="22:22" s="2" customFormat="1" x14ac:dyDescent="0.3">
      <c r="V149" s="46"/>
    </row>
    <row r="150" spans="22:22" s="2" customFormat="1" x14ac:dyDescent="0.3">
      <c r="V150" s="46"/>
    </row>
    <row r="151" spans="22:22" s="2" customFormat="1" x14ac:dyDescent="0.3">
      <c r="V151" s="46"/>
    </row>
    <row r="152" spans="22:22" s="2" customFormat="1" x14ac:dyDescent="0.3">
      <c r="V152" s="46"/>
    </row>
    <row r="153" spans="22:22" s="2" customFormat="1" x14ac:dyDescent="0.3">
      <c r="V153" s="46"/>
    </row>
    <row r="154" spans="22:22" s="2" customFormat="1" x14ac:dyDescent="0.3">
      <c r="V154" s="46"/>
    </row>
    <row r="155" spans="22:22" s="2" customFormat="1" x14ac:dyDescent="0.3">
      <c r="V155" s="46"/>
    </row>
    <row r="156" spans="22:22" s="2" customFormat="1" x14ac:dyDescent="0.3">
      <c r="V156" s="46"/>
    </row>
    <row r="157" spans="22:22" s="2" customFormat="1" x14ac:dyDescent="0.3">
      <c r="V157" s="46"/>
    </row>
    <row r="158" spans="22:22" s="2" customFormat="1" x14ac:dyDescent="0.3">
      <c r="V158" s="46"/>
    </row>
    <row r="159" spans="22:22" s="2" customFormat="1" x14ac:dyDescent="0.3">
      <c r="V159" s="46"/>
    </row>
    <row r="160" spans="22:22" s="2" customFormat="1" x14ac:dyDescent="0.3">
      <c r="V160" s="46"/>
    </row>
    <row r="161" spans="22:22" s="2" customFormat="1" x14ac:dyDescent="0.3">
      <c r="V161" s="46"/>
    </row>
    <row r="162" spans="22:22" s="2" customFormat="1" x14ac:dyDescent="0.3">
      <c r="V162" s="46"/>
    </row>
    <row r="163" spans="22:22" s="2" customFormat="1" x14ac:dyDescent="0.3">
      <c r="V163" s="46"/>
    </row>
    <row r="164" spans="22:22" s="2" customFormat="1" x14ac:dyDescent="0.3">
      <c r="V164" s="46"/>
    </row>
    <row r="165" spans="22:22" s="2" customFormat="1" x14ac:dyDescent="0.3">
      <c r="V165" s="46"/>
    </row>
    <row r="166" spans="22:22" s="2" customFormat="1" x14ac:dyDescent="0.3">
      <c r="V166" s="46"/>
    </row>
    <row r="167" spans="22:22" s="2" customFormat="1" x14ac:dyDescent="0.3">
      <c r="V167" s="46"/>
    </row>
    <row r="168" spans="22:22" s="2" customFormat="1" x14ac:dyDescent="0.3">
      <c r="V168" s="46"/>
    </row>
    <row r="169" spans="22:22" s="2" customFormat="1" x14ac:dyDescent="0.3">
      <c r="V169" s="46"/>
    </row>
    <row r="170" spans="22:22" s="2" customFormat="1" x14ac:dyDescent="0.3">
      <c r="V170" s="46"/>
    </row>
    <row r="171" spans="22:22" s="2" customFormat="1" x14ac:dyDescent="0.3">
      <c r="V171" s="46"/>
    </row>
    <row r="172" spans="22:22" s="2" customFormat="1" x14ac:dyDescent="0.3">
      <c r="V172" s="46"/>
    </row>
    <row r="173" spans="22:22" s="2" customFormat="1" x14ac:dyDescent="0.3">
      <c r="V173" s="46"/>
    </row>
    <row r="174" spans="22:22" s="2" customFormat="1" x14ac:dyDescent="0.3">
      <c r="V174" s="46"/>
    </row>
    <row r="175" spans="22:22" s="2" customFormat="1" x14ac:dyDescent="0.3">
      <c r="V175" s="46"/>
    </row>
    <row r="176" spans="22:22" s="2" customFormat="1" x14ac:dyDescent="0.3">
      <c r="V176" s="46"/>
    </row>
    <row r="177" spans="22:22" s="2" customFormat="1" x14ac:dyDescent="0.3">
      <c r="V177" s="46"/>
    </row>
    <row r="178" spans="22:22" s="2" customFormat="1" x14ac:dyDescent="0.3">
      <c r="V178" s="46"/>
    </row>
    <row r="179" spans="22:22" s="2" customFormat="1" x14ac:dyDescent="0.3">
      <c r="V179" s="46"/>
    </row>
    <row r="180" spans="22:22" s="2" customFormat="1" x14ac:dyDescent="0.3">
      <c r="V180" s="46"/>
    </row>
    <row r="181" spans="22:22" s="2" customFormat="1" x14ac:dyDescent="0.3">
      <c r="V181" s="46"/>
    </row>
    <row r="182" spans="22:22" s="2" customFormat="1" x14ac:dyDescent="0.3">
      <c r="V182" s="46"/>
    </row>
    <row r="183" spans="22:22" s="2" customFormat="1" x14ac:dyDescent="0.3">
      <c r="V183" s="46"/>
    </row>
    <row r="184" spans="22:22" s="2" customFormat="1" x14ac:dyDescent="0.3">
      <c r="V184" s="46"/>
    </row>
    <row r="185" spans="22:22" s="2" customFormat="1" x14ac:dyDescent="0.3">
      <c r="V185" s="46"/>
    </row>
    <row r="186" spans="22:22" s="2" customFormat="1" x14ac:dyDescent="0.3">
      <c r="V186" s="46"/>
    </row>
    <row r="187" spans="22:22" s="2" customFormat="1" x14ac:dyDescent="0.3">
      <c r="V187" s="46"/>
    </row>
    <row r="188" spans="22:22" s="2" customFormat="1" x14ac:dyDescent="0.3">
      <c r="V188" s="46"/>
    </row>
    <row r="189" spans="22:22" s="2" customFormat="1" x14ac:dyDescent="0.3">
      <c r="V189" s="46"/>
    </row>
    <row r="190" spans="22:22" s="2" customFormat="1" x14ac:dyDescent="0.3">
      <c r="V190" s="46"/>
    </row>
    <row r="191" spans="22:22" s="2" customFormat="1" x14ac:dyDescent="0.3">
      <c r="V191" s="46"/>
    </row>
    <row r="192" spans="22:22" s="2" customFormat="1" x14ac:dyDescent="0.3">
      <c r="V192" s="46"/>
    </row>
    <row r="193" spans="22:22" s="2" customFormat="1" x14ac:dyDescent="0.3">
      <c r="V193" s="46"/>
    </row>
    <row r="194" spans="22:22" s="2" customFormat="1" x14ac:dyDescent="0.3">
      <c r="V194" s="46"/>
    </row>
    <row r="195" spans="22:22" s="2" customFormat="1" x14ac:dyDescent="0.3">
      <c r="V195" s="46"/>
    </row>
    <row r="196" spans="22:22" s="2" customFormat="1" x14ac:dyDescent="0.3">
      <c r="V196" s="46"/>
    </row>
    <row r="197" spans="22:22" s="2" customFormat="1" x14ac:dyDescent="0.3">
      <c r="V197" s="46"/>
    </row>
    <row r="198" spans="22:22" s="2" customFormat="1" x14ac:dyDescent="0.3">
      <c r="V198" s="46"/>
    </row>
    <row r="199" spans="22:22" s="2" customFormat="1" x14ac:dyDescent="0.3">
      <c r="V199" s="46"/>
    </row>
    <row r="200" spans="22:22" s="2" customFormat="1" x14ac:dyDescent="0.3">
      <c r="V200" s="46"/>
    </row>
    <row r="201" spans="22:22" s="2" customFormat="1" x14ac:dyDescent="0.3">
      <c r="V201" s="46"/>
    </row>
    <row r="202" spans="22:22" s="2" customFormat="1" x14ac:dyDescent="0.3">
      <c r="V202" s="46"/>
    </row>
    <row r="203" spans="22:22" s="2" customFormat="1" x14ac:dyDescent="0.3">
      <c r="V203" s="46"/>
    </row>
    <row r="204" spans="22:22" s="2" customFormat="1" x14ac:dyDescent="0.3">
      <c r="V204" s="46"/>
    </row>
    <row r="205" spans="22:22" s="2" customFormat="1" x14ac:dyDescent="0.3">
      <c r="V205" s="46"/>
    </row>
    <row r="206" spans="22:22" s="2" customFormat="1" x14ac:dyDescent="0.3">
      <c r="V206" s="46"/>
    </row>
    <row r="207" spans="22:22" s="2" customFormat="1" x14ac:dyDescent="0.3">
      <c r="V207" s="46"/>
    </row>
    <row r="208" spans="22:22" s="2" customFormat="1" x14ac:dyDescent="0.3">
      <c r="V208" s="46"/>
    </row>
    <row r="209" spans="22:22" s="2" customFormat="1" x14ac:dyDescent="0.3">
      <c r="V209" s="46"/>
    </row>
    <row r="210" spans="22:22" s="2" customFormat="1" x14ac:dyDescent="0.3">
      <c r="V210" s="46"/>
    </row>
    <row r="211" spans="22:22" s="2" customFormat="1" x14ac:dyDescent="0.3">
      <c r="V211" s="46"/>
    </row>
    <row r="212" spans="22:22" s="2" customFormat="1" x14ac:dyDescent="0.3">
      <c r="V212" s="46"/>
    </row>
    <row r="213" spans="22:22" s="2" customFormat="1" x14ac:dyDescent="0.3">
      <c r="V213" s="46"/>
    </row>
    <row r="214" spans="22:22" s="2" customFormat="1" x14ac:dyDescent="0.3">
      <c r="V214" s="46"/>
    </row>
    <row r="215" spans="22:22" s="2" customFormat="1" x14ac:dyDescent="0.3">
      <c r="V215" s="46"/>
    </row>
    <row r="216" spans="22:22" s="2" customFormat="1" x14ac:dyDescent="0.3">
      <c r="V216" s="46"/>
    </row>
    <row r="217" spans="22:22" s="2" customFormat="1" x14ac:dyDescent="0.3">
      <c r="V217" s="46"/>
    </row>
    <row r="218" spans="22:22" s="2" customFormat="1" x14ac:dyDescent="0.3">
      <c r="V218" s="46"/>
    </row>
    <row r="219" spans="22:22" s="2" customFormat="1" x14ac:dyDescent="0.3">
      <c r="V219" s="46"/>
    </row>
    <row r="220" spans="22:22" s="2" customFormat="1" x14ac:dyDescent="0.3">
      <c r="V220" s="46"/>
    </row>
    <row r="221" spans="22:22" s="2" customFormat="1" x14ac:dyDescent="0.3">
      <c r="V221" s="46"/>
    </row>
    <row r="222" spans="22:22" s="2" customFormat="1" x14ac:dyDescent="0.3">
      <c r="V222" s="46"/>
    </row>
    <row r="223" spans="22:22" s="2" customFormat="1" x14ac:dyDescent="0.3">
      <c r="V223" s="46"/>
    </row>
    <row r="224" spans="22:22" s="2" customFormat="1" x14ac:dyDescent="0.3">
      <c r="V224" s="46"/>
    </row>
    <row r="225" spans="22:22" s="2" customFormat="1" x14ac:dyDescent="0.3">
      <c r="V225" s="46"/>
    </row>
    <row r="226" spans="22:22" s="2" customFormat="1" x14ac:dyDescent="0.3">
      <c r="V226" s="46"/>
    </row>
    <row r="227" spans="22:22" s="2" customFormat="1" x14ac:dyDescent="0.3">
      <c r="V227" s="46"/>
    </row>
    <row r="228" spans="22:22" s="2" customFormat="1" x14ac:dyDescent="0.3">
      <c r="V228" s="46"/>
    </row>
    <row r="229" spans="22:22" s="2" customFormat="1" x14ac:dyDescent="0.3">
      <c r="V229" s="46"/>
    </row>
    <row r="230" spans="22:22" s="2" customFormat="1" x14ac:dyDescent="0.3">
      <c r="V230" s="46"/>
    </row>
    <row r="231" spans="22:22" s="2" customFormat="1" x14ac:dyDescent="0.3">
      <c r="V231" s="46"/>
    </row>
    <row r="232" spans="22:22" s="2" customFormat="1" x14ac:dyDescent="0.3">
      <c r="V232" s="46"/>
    </row>
    <row r="233" spans="22:22" s="2" customFormat="1" x14ac:dyDescent="0.3">
      <c r="V233" s="46"/>
    </row>
    <row r="234" spans="22:22" s="2" customFormat="1" x14ac:dyDescent="0.3">
      <c r="V234" s="46"/>
    </row>
    <row r="235" spans="22:22" s="2" customFormat="1" x14ac:dyDescent="0.3">
      <c r="V235" s="46"/>
    </row>
    <row r="236" spans="22:22" s="2" customFormat="1" x14ac:dyDescent="0.3">
      <c r="V236" s="46"/>
    </row>
    <row r="237" spans="22:22" s="2" customFormat="1" x14ac:dyDescent="0.3">
      <c r="V237" s="46"/>
    </row>
    <row r="238" spans="22:22" s="2" customFormat="1" x14ac:dyDescent="0.3">
      <c r="V238" s="46"/>
    </row>
    <row r="239" spans="22:22" s="2" customFormat="1" x14ac:dyDescent="0.3">
      <c r="V239" s="46"/>
    </row>
    <row r="240" spans="22:22" s="2" customFormat="1" x14ac:dyDescent="0.3">
      <c r="V240" s="46"/>
    </row>
    <row r="241" spans="22:22" s="2" customFormat="1" x14ac:dyDescent="0.3">
      <c r="V241" s="46"/>
    </row>
    <row r="242" spans="22:22" s="2" customFormat="1" x14ac:dyDescent="0.3">
      <c r="V242" s="46"/>
    </row>
    <row r="243" spans="22:22" s="2" customFormat="1" x14ac:dyDescent="0.3">
      <c r="V243" s="46"/>
    </row>
    <row r="244" spans="22:22" s="2" customFormat="1" x14ac:dyDescent="0.3">
      <c r="V244" s="46"/>
    </row>
    <row r="245" spans="22:22" s="2" customFormat="1" x14ac:dyDescent="0.3">
      <c r="V245" s="46"/>
    </row>
    <row r="246" spans="22:22" s="2" customFormat="1" x14ac:dyDescent="0.3">
      <c r="V246" s="46"/>
    </row>
    <row r="247" spans="22:22" s="2" customFormat="1" x14ac:dyDescent="0.3">
      <c r="V247" s="46"/>
    </row>
    <row r="248" spans="22:22" s="2" customFormat="1" x14ac:dyDescent="0.3">
      <c r="V248" s="46"/>
    </row>
    <row r="249" spans="22:22" s="2" customFormat="1" x14ac:dyDescent="0.3">
      <c r="V249" s="46"/>
    </row>
    <row r="250" spans="22:22" s="2" customFormat="1" x14ac:dyDescent="0.3">
      <c r="V250" s="46"/>
    </row>
    <row r="251" spans="22:22" s="2" customFormat="1" x14ac:dyDescent="0.3">
      <c r="V251" s="46"/>
    </row>
    <row r="252" spans="22:22" s="2" customFormat="1" x14ac:dyDescent="0.3">
      <c r="V252" s="46"/>
    </row>
    <row r="253" spans="22:22" s="2" customFormat="1" x14ac:dyDescent="0.3">
      <c r="V253" s="46"/>
    </row>
    <row r="254" spans="22:22" s="2" customFormat="1" x14ac:dyDescent="0.3">
      <c r="V254" s="46"/>
    </row>
    <row r="255" spans="22:22" s="2" customFormat="1" x14ac:dyDescent="0.3">
      <c r="V255" s="46"/>
    </row>
    <row r="256" spans="22:22" s="2" customFormat="1" x14ac:dyDescent="0.3">
      <c r="V256" s="46"/>
    </row>
    <row r="257" spans="22:22" s="2" customFormat="1" x14ac:dyDescent="0.3">
      <c r="V257" s="46"/>
    </row>
    <row r="258" spans="22:22" s="2" customFormat="1" x14ac:dyDescent="0.3">
      <c r="V258" s="46"/>
    </row>
    <row r="259" spans="22:22" s="2" customFormat="1" x14ac:dyDescent="0.3">
      <c r="V259" s="46"/>
    </row>
    <row r="260" spans="22:22" s="2" customFormat="1" x14ac:dyDescent="0.3">
      <c r="V260" s="46"/>
    </row>
    <row r="261" spans="22:22" s="2" customFormat="1" x14ac:dyDescent="0.3">
      <c r="V261" s="46"/>
    </row>
    <row r="262" spans="22:22" s="2" customFormat="1" x14ac:dyDescent="0.3">
      <c r="V262" s="46"/>
    </row>
    <row r="263" spans="22:22" s="2" customFormat="1" x14ac:dyDescent="0.3">
      <c r="V263" s="46"/>
    </row>
    <row r="264" spans="22:22" s="2" customFormat="1" x14ac:dyDescent="0.3">
      <c r="V264" s="46"/>
    </row>
    <row r="265" spans="22:22" s="2" customFormat="1" x14ac:dyDescent="0.3">
      <c r="V265" s="46"/>
    </row>
    <row r="266" spans="22:22" s="2" customFormat="1" x14ac:dyDescent="0.3">
      <c r="V266" s="46"/>
    </row>
    <row r="267" spans="22:22" s="2" customFormat="1" x14ac:dyDescent="0.3">
      <c r="V267" s="46"/>
    </row>
    <row r="268" spans="22:22" s="2" customFormat="1" x14ac:dyDescent="0.3">
      <c r="V268" s="46"/>
    </row>
    <row r="269" spans="22:22" s="2" customFormat="1" x14ac:dyDescent="0.3">
      <c r="V269" s="46"/>
    </row>
    <row r="270" spans="22:22" s="2" customFormat="1" x14ac:dyDescent="0.3">
      <c r="V270" s="46"/>
    </row>
    <row r="271" spans="22:22" s="2" customFormat="1" x14ac:dyDescent="0.3">
      <c r="V271" s="46"/>
    </row>
    <row r="272" spans="22:22" s="2" customFormat="1" x14ac:dyDescent="0.3">
      <c r="V272" s="46"/>
    </row>
    <row r="273" spans="22:22" s="2" customFormat="1" x14ac:dyDescent="0.3">
      <c r="V273" s="46"/>
    </row>
    <row r="274" spans="22:22" s="2" customFormat="1" x14ac:dyDescent="0.3">
      <c r="V274" s="46"/>
    </row>
    <row r="275" spans="22:22" s="2" customFormat="1" x14ac:dyDescent="0.3">
      <c r="V275" s="46"/>
    </row>
    <row r="276" spans="22:22" s="2" customFormat="1" x14ac:dyDescent="0.3">
      <c r="V276" s="46"/>
    </row>
    <row r="277" spans="22:22" s="2" customFormat="1" x14ac:dyDescent="0.3">
      <c r="V277" s="46"/>
    </row>
    <row r="278" spans="22:22" s="2" customFormat="1" x14ac:dyDescent="0.3">
      <c r="V278" s="46"/>
    </row>
    <row r="279" spans="22:22" s="2" customFormat="1" x14ac:dyDescent="0.3">
      <c r="V279" s="46"/>
    </row>
    <row r="280" spans="22:22" s="2" customFormat="1" x14ac:dyDescent="0.3">
      <c r="V280" s="46"/>
    </row>
    <row r="281" spans="22:22" s="2" customFormat="1" x14ac:dyDescent="0.3">
      <c r="V281" s="46"/>
    </row>
    <row r="282" spans="22:22" s="2" customFormat="1" x14ac:dyDescent="0.3">
      <c r="V282" s="46"/>
    </row>
    <row r="283" spans="22:22" s="2" customFormat="1" x14ac:dyDescent="0.3">
      <c r="V283" s="46"/>
    </row>
    <row r="284" spans="22:22" s="2" customFormat="1" x14ac:dyDescent="0.3">
      <c r="V284" s="46"/>
    </row>
    <row r="285" spans="22:22" s="2" customFormat="1" x14ac:dyDescent="0.3">
      <c r="V285" s="46"/>
    </row>
    <row r="286" spans="22:22" s="2" customFormat="1" x14ac:dyDescent="0.3">
      <c r="V286" s="46"/>
    </row>
    <row r="287" spans="22:22" s="2" customFormat="1" x14ac:dyDescent="0.3">
      <c r="V287" s="46"/>
    </row>
    <row r="288" spans="22:22" s="2" customFormat="1" x14ac:dyDescent="0.3">
      <c r="V288" s="46"/>
    </row>
    <row r="289" spans="22:22" s="2" customFormat="1" x14ac:dyDescent="0.3">
      <c r="V289" s="46"/>
    </row>
    <row r="290" spans="22:22" s="2" customFormat="1" x14ac:dyDescent="0.3">
      <c r="V290" s="46"/>
    </row>
    <row r="291" spans="22:22" s="2" customFormat="1" x14ac:dyDescent="0.3">
      <c r="V291" s="46"/>
    </row>
    <row r="292" spans="22:22" s="2" customFormat="1" x14ac:dyDescent="0.3">
      <c r="V292" s="46"/>
    </row>
    <row r="293" spans="22:22" s="2" customFormat="1" x14ac:dyDescent="0.3">
      <c r="V293" s="46"/>
    </row>
    <row r="294" spans="22:22" s="2" customFormat="1" x14ac:dyDescent="0.3">
      <c r="V294" s="46"/>
    </row>
    <row r="295" spans="22:22" s="2" customFormat="1" x14ac:dyDescent="0.3">
      <c r="V295" s="46"/>
    </row>
    <row r="296" spans="22:22" s="2" customFormat="1" x14ac:dyDescent="0.3">
      <c r="V296" s="46"/>
    </row>
    <row r="297" spans="22:22" s="2" customFormat="1" x14ac:dyDescent="0.3">
      <c r="V297" s="46"/>
    </row>
    <row r="298" spans="22:22" s="2" customFormat="1" x14ac:dyDescent="0.3">
      <c r="V298" s="46"/>
    </row>
    <row r="299" spans="22:22" s="2" customFormat="1" x14ac:dyDescent="0.3">
      <c r="V299" s="46"/>
    </row>
    <row r="300" spans="22:22" s="2" customFormat="1" x14ac:dyDescent="0.3">
      <c r="V300" s="46"/>
    </row>
    <row r="301" spans="22:22" s="2" customFormat="1" x14ac:dyDescent="0.3">
      <c r="V301" s="46"/>
    </row>
    <row r="302" spans="22:22" s="2" customFormat="1" x14ac:dyDescent="0.3">
      <c r="V302" s="46"/>
    </row>
    <row r="303" spans="22:22" s="2" customFormat="1" x14ac:dyDescent="0.3">
      <c r="V303" s="46"/>
    </row>
    <row r="304" spans="22:22" s="2" customFormat="1" x14ac:dyDescent="0.3">
      <c r="V304" s="46"/>
    </row>
    <row r="305" spans="22:22" s="2" customFormat="1" x14ac:dyDescent="0.3">
      <c r="V305" s="46"/>
    </row>
    <row r="306" spans="22:22" s="2" customFormat="1" x14ac:dyDescent="0.3">
      <c r="V306" s="46"/>
    </row>
    <row r="307" spans="22:22" s="2" customFormat="1" x14ac:dyDescent="0.3">
      <c r="V307" s="46"/>
    </row>
    <row r="308" spans="22:22" s="2" customFormat="1" x14ac:dyDescent="0.3">
      <c r="V308" s="46"/>
    </row>
    <row r="309" spans="22:22" s="2" customFormat="1" x14ac:dyDescent="0.3">
      <c r="V309" s="46"/>
    </row>
    <row r="310" spans="22:22" s="2" customFormat="1" x14ac:dyDescent="0.3">
      <c r="V310" s="46"/>
    </row>
    <row r="311" spans="22:22" s="2" customFormat="1" x14ac:dyDescent="0.3">
      <c r="V311" s="46"/>
    </row>
    <row r="312" spans="22:22" s="2" customFormat="1" x14ac:dyDescent="0.3">
      <c r="V312" s="46"/>
    </row>
    <row r="313" spans="22:22" s="2" customFormat="1" x14ac:dyDescent="0.3">
      <c r="V313" s="46"/>
    </row>
    <row r="314" spans="22:22" s="2" customFormat="1" x14ac:dyDescent="0.3">
      <c r="V314" s="46"/>
    </row>
    <row r="315" spans="22:22" s="2" customFormat="1" x14ac:dyDescent="0.3">
      <c r="V315" s="46"/>
    </row>
    <row r="316" spans="22:22" s="2" customFormat="1" x14ac:dyDescent="0.3">
      <c r="V316" s="46"/>
    </row>
    <row r="317" spans="22:22" s="2" customFormat="1" x14ac:dyDescent="0.3">
      <c r="V317" s="46"/>
    </row>
    <row r="318" spans="22:22" s="2" customFormat="1" x14ac:dyDescent="0.3">
      <c r="V318" s="46"/>
    </row>
    <row r="319" spans="22:22" s="2" customFormat="1" x14ac:dyDescent="0.3">
      <c r="V319" s="46"/>
    </row>
    <row r="320" spans="22:22" s="2" customFormat="1" x14ac:dyDescent="0.3">
      <c r="V320" s="46"/>
    </row>
    <row r="321" spans="3:22" s="2" customFormat="1" x14ac:dyDescent="0.3">
      <c r="V321" s="46"/>
    </row>
    <row r="322" spans="3:22" s="2" customFormat="1" x14ac:dyDescent="0.3">
      <c r="V322" s="46"/>
    </row>
    <row r="323" spans="3:22" s="2" customFormat="1" x14ac:dyDescent="0.3">
      <c r="V323" s="46"/>
    </row>
    <row r="324" spans="3:22" s="2" customFormat="1" x14ac:dyDescent="0.3">
      <c r="V324" s="46"/>
    </row>
    <row r="325" spans="3:22" s="2" customFormat="1" x14ac:dyDescent="0.3">
      <c r="V325" s="46"/>
    </row>
    <row r="326" spans="3:22" s="2" customFormat="1" x14ac:dyDescent="0.3">
      <c r="V326" s="46"/>
    </row>
    <row r="327" spans="3:22" s="2" customFormat="1" x14ac:dyDescent="0.3">
      <c r="V327" s="46"/>
    </row>
    <row r="328" spans="3:22" s="2" customFormat="1" x14ac:dyDescent="0.3">
      <c r="V328" s="46"/>
    </row>
    <row r="329" spans="3:22" s="2" customFormat="1" x14ac:dyDescent="0.3">
      <c r="V329" s="46"/>
    </row>
    <row r="330" spans="3:22" s="2" customFormat="1" x14ac:dyDescent="0.3">
      <c r="V330" s="46"/>
    </row>
    <row r="331" spans="3:22" s="2" customFormat="1" x14ac:dyDescent="0.3">
      <c r="V331" s="46"/>
    </row>
    <row r="332" spans="3:22" s="2" customFormat="1" x14ac:dyDescent="0.3">
      <c r="V332" s="46"/>
    </row>
    <row r="333" spans="3:22" s="2" customFormat="1" x14ac:dyDescent="0.3">
      <c r="V333" s="46"/>
    </row>
    <row r="334" spans="3:22" s="2" customFormat="1" x14ac:dyDescent="0.3">
      <c r="V334" s="46"/>
    </row>
    <row r="335" spans="3:22" x14ac:dyDescent="0.3">
      <c r="C335" s="2"/>
    </row>
    <row r="336" spans="3:22" x14ac:dyDescent="0.3">
      <c r="C336" s="2"/>
    </row>
    <row r="337" spans="3:3" x14ac:dyDescent="0.3">
      <c r="C337" s="2"/>
    </row>
  </sheetData>
  <sheetProtection password="CC71" sheet="1" objects="1" scenarios="1"/>
  <mergeCells count="24">
    <mergeCell ref="B1:AG1"/>
    <mergeCell ref="C2:O2"/>
    <mergeCell ref="AI41:AI44"/>
    <mergeCell ref="AI38:AI39"/>
    <mergeCell ref="AI46:AI47"/>
    <mergeCell ref="AI7:AI9"/>
    <mergeCell ref="C3:O5"/>
    <mergeCell ref="AG7:AH7"/>
    <mergeCell ref="H7:P7"/>
    <mergeCell ref="N8:P8"/>
    <mergeCell ref="I8:I9"/>
    <mergeCell ref="Q7:R7"/>
    <mergeCell ref="B7:B9"/>
    <mergeCell ref="C7:C9"/>
    <mergeCell ref="D7:F7"/>
    <mergeCell ref="G7:G9"/>
    <mergeCell ref="H8:H9"/>
    <mergeCell ref="AE7:AF7"/>
    <mergeCell ref="S7:T7"/>
    <mergeCell ref="U7:V7"/>
    <mergeCell ref="W7:X7"/>
    <mergeCell ref="Y7:Z7"/>
    <mergeCell ref="AA7:AB7"/>
    <mergeCell ref="AC7:AD7"/>
  </mergeCells>
  <pageMargins left="0.78740157480314965" right="0.11811023622047245" top="0.35433070866141736" bottom="0.35433070866141736" header="0.31496062992125984" footer="0.31496062992125984"/>
  <pageSetup paperSize="9" scale="12" orientation="portrait" r:id="rId1"/>
  <rowBreaks count="1" manualBreakCount="1">
    <brk id="68" max="16383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фінплану</vt:lpstr>
      <vt:lpstr>'Виконання фінплану'!Область_печати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2023-03-14T13:18:56Z</dcterms:modified>
</cp:coreProperties>
</file>