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codeName="ЭтаКнига" defaultThemeVersion="124226"/>
  <xr:revisionPtr revIDLastSave="0" documentId="13_ncr:1_{C7F23969-B97F-4C3E-9E7B-1C419A0CE2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Лист1!$A$2:$N$43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2" i="1" l="1"/>
  <c r="N11" i="1" l="1"/>
  <c r="N9" i="1"/>
  <c r="N7" i="1" l="1"/>
  <c r="N39" i="1"/>
  <c r="B20" i="2" l="1"/>
  <c r="B29" i="2"/>
  <c r="B28" i="2"/>
  <c r="B27" i="2"/>
  <c r="B26" i="2"/>
  <c r="B25" i="2"/>
  <c r="B24" i="2"/>
  <c r="B23" i="2"/>
  <c r="B22" i="2"/>
  <c r="B21" i="2"/>
  <c r="A19" i="2"/>
  <c r="B19" i="2"/>
  <c r="B15" i="2"/>
  <c r="B18" i="2"/>
  <c r="B17" i="2"/>
  <c r="B16" i="2"/>
  <c r="B14" i="2"/>
  <c r="B13" i="2"/>
  <c r="B12" i="2"/>
  <c r="B11" i="2"/>
  <c r="B10" i="2"/>
  <c r="B9" i="2"/>
  <c r="B7" i="2"/>
  <c r="B8" i="2"/>
  <c r="B6" i="2"/>
  <c r="B5" i="2"/>
  <c r="B4" i="2"/>
  <c r="B3" i="2"/>
  <c r="B2" i="2"/>
  <c r="B1" i="2"/>
  <c r="A29" i="2"/>
  <c r="A28" i="2"/>
  <c r="A27" i="2"/>
  <c r="A26" i="2"/>
  <c r="A25" i="2"/>
  <c r="A24" i="2"/>
  <c r="A23" i="2"/>
  <c r="A22" i="2"/>
  <c r="A21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B30" i="2" l="1"/>
  <c r="C30" i="2" s="1"/>
</calcChain>
</file>

<file path=xl/sharedStrings.xml><?xml version="1.0" encoding="utf-8"?>
<sst xmlns="http://schemas.openxmlformats.org/spreadsheetml/2006/main" count="317" uniqueCount="231">
  <si>
    <t>Реєстраційний номер договору</t>
  </si>
  <si>
    <t>сторона з якою складається договір</t>
  </si>
  <si>
    <t xml:space="preserve">термін дії договору </t>
  </si>
  <si>
    <t>по</t>
  </si>
  <si>
    <t>сума договору</t>
  </si>
  <si>
    <t>загальна сума</t>
  </si>
  <si>
    <t>з</t>
  </si>
  <si>
    <t>Код CPV</t>
  </si>
  <si>
    <t>ЄДРПОУ</t>
  </si>
  <si>
    <t>ПІП керівника</t>
  </si>
  <si>
    <t>предмет договору</t>
  </si>
  <si>
    <t>Процедура закупівлі</t>
  </si>
  <si>
    <t>додаткова угода №, дата</t>
  </si>
  <si>
    <t xml:space="preserve">сума дод. угоди </t>
  </si>
  <si>
    <t>переговорна процедура</t>
  </si>
  <si>
    <t>без використання електронної системи</t>
  </si>
  <si>
    <t>КП ЖЕО</t>
  </si>
  <si>
    <t>31537375</t>
  </si>
  <si>
    <t>О.А. Салагор</t>
  </si>
  <si>
    <t>64210000-1</t>
  </si>
  <si>
    <t>КП СКГ</t>
  </si>
  <si>
    <t>66510000-8</t>
  </si>
  <si>
    <t>ПАТ "Страхова група "ТАС"</t>
  </si>
  <si>
    <t>Шмідько Т. Д.</t>
  </si>
  <si>
    <t>79820000-8</t>
  </si>
  <si>
    <t>ПП "Редакція газети "Контакт"</t>
  </si>
  <si>
    <t>Управління поліції охорони в Миколаївській області</t>
  </si>
  <si>
    <t>С.В. Строін</t>
  </si>
  <si>
    <t>79140000-7</t>
  </si>
  <si>
    <t>60140000-1</t>
  </si>
  <si>
    <t>КП "СКГ"</t>
  </si>
  <si>
    <t>Л.В. Паламарчук</t>
  </si>
  <si>
    <t>09130000-9</t>
  </si>
  <si>
    <t>В.А. Гапук</t>
  </si>
  <si>
    <t>41783751</t>
  </si>
  <si>
    <t>Борисенко О.В.</t>
  </si>
  <si>
    <t>перевезення резервістів</t>
  </si>
  <si>
    <t>КП "ТВКГ"</t>
  </si>
  <si>
    <t>Д.С. Судаков</t>
  </si>
  <si>
    <t>31520000-8</t>
  </si>
  <si>
    <t>Закупівля вуличних ліхтарів з датчиком руху</t>
  </si>
  <si>
    <t>ФОП "Унтілов О.П."</t>
  </si>
  <si>
    <t>О.П. Унтілов</t>
  </si>
  <si>
    <t>37/1</t>
  </si>
  <si>
    <t>2282000-4</t>
  </si>
  <si>
    <t>Купівля-продаж посвідчень добровольця територіальної оборони</t>
  </si>
  <si>
    <t>ФОП "Волянюк Л.А."</t>
  </si>
  <si>
    <t>Л.А. Волянюк</t>
  </si>
  <si>
    <t>3255000-3</t>
  </si>
  <si>
    <t>закупівля комплектів підсилення сигналу стільникового зв'язку</t>
  </si>
  <si>
    <t>ФОП "Гапук В.А."</t>
  </si>
  <si>
    <t>7971000-4</t>
  </si>
  <si>
    <t>спостереження за станом та технічне обслуговування сигналізації</t>
  </si>
  <si>
    <t>11.302/22/41</t>
  </si>
  <si>
    <t>передавання даних і повідомлень: користування захищеним цифровим каналом</t>
  </si>
  <si>
    <t>ДП "Українські спеціальні системи</t>
  </si>
  <si>
    <t>А.Б. Вітренко</t>
  </si>
  <si>
    <t>09320000-8</t>
  </si>
  <si>
    <t>про надання послуг з постачання теплової енергії</t>
  </si>
  <si>
    <t>34/Б/43</t>
  </si>
  <si>
    <t>65110000-7</t>
  </si>
  <si>
    <t>про надання послуг з централізованого водопостачання</t>
  </si>
  <si>
    <t>35Б/44</t>
  </si>
  <si>
    <t>про надання послуг з постачання гарячої води</t>
  </si>
  <si>
    <t>90430000-0</t>
  </si>
  <si>
    <t>про надання послуг з централізованого водовідведення</t>
  </si>
  <si>
    <t>37Б/45</t>
  </si>
  <si>
    <t>5011000-9</t>
  </si>
  <si>
    <t>послуги з шиномонтажу</t>
  </si>
  <si>
    <t>ФОП "Юрченко А.Ф."</t>
  </si>
  <si>
    <t>А.Ф. Юрченко</t>
  </si>
  <si>
    <t>1841000-6</t>
  </si>
  <si>
    <t>Закупівля костюму військового</t>
  </si>
  <si>
    <t>ФОП "Сидоренко В.В."</t>
  </si>
  <si>
    <t>В.В. Сидоренко</t>
  </si>
  <si>
    <t>Відшкодування витрат по тепловій енергії в приміщенні за адресою: вул. Дружби Народів, 23</t>
  </si>
  <si>
    <t>військовий стан</t>
  </si>
  <si>
    <t>7033000-3</t>
  </si>
  <si>
    <t>Експлуатаційні послуги пов'язані з утриманням будинків і споруд та прибудинкових територій за адресою: б-р. Цвіточний, 9, площею 16,9 кв.м.</t>
  </si>
  <si>
    <t>КП "ЖЕО"</t>
  </si>
  <si>
    <t>80-1/49</t>
  </si>
  <si>
    <t>79-1/50</t>
  </si>
  <si>
    <t>Експлуатаційні послуги пов'язані з утриманням будинків і споруд та прибудинкових територій за адресою: вул. Дружби Народів, 35В, площею 196,9 кв.м.</t>
  </si>
  <si>
    <t>78-1/51</t>
  </si>
  <si>
    <t>Експлуатаційні послуги пов'язані з утриманням булинків і споруд та прибудникових територій за адресою: б-р. Цвіточний, 9 площею 90,7 кв.м.</t>
  </si>
  <si>
    <t>76-1/52</t>
  </si>
  <si>
    <t>Експлуатаційні послуги пов'язані з утриманням будинків і споруд та прибудинкових територій за адресою б-р. Цвіточний, 9, площею 359,93 кв.м.</t>
  </si>
  <si>
    <t>75-1/53</t>
  </si>
  <si>
    <t>Експлуатаційні послуги пов'язані з утриманням будинків і споруд та прибудинкових територій за адресою: вул. Дружби Народів,54 площею 147,4 кв.м.</t>
  </si>
  <si>
    <t>FO-01327438/54</t>
  </si>
  <si>
    <t>Страхування автомобіля Skoda Superb Eleganse</t>
  </si>
  <si>
    <t>70330000-3</t>
  </si>
  <si>
    <t>Про надання експлуатаційних послуг пов'язаних з утримання будинків та прибудинкових територій вул.Дружби народів 23 площею 37,3кв.м.</t>
  </si>
  <si>
    <t>Паламарчук Л.В.</t>
  </si>
  <si>
    <t>18330000-1</t>
  </si>
  <si>
    <t>купівля- продаж футболок та панам для військових</t>
  </si>
  <si>
    <t>ФОП Сидоренко Вікторія Вікторівна</t>
  </si>
  <si>
    <t>Сидоренко В.В.</t>
  </si>
  <si>
    <t>50/56</t>
  </si>
  <si>
    <t>висвітлення діяльності виконавчого комітету Южноукраїнської міської ради друкованими засобами масової інформації</t>
  </si>
  <si>
    <t>Мініна Л.В.</t>
  </si>
  <si>
    <t>№ з/п/ дата реестрації</t>
  </si>
  <si>
    <t>30190000-7</t>
  </si>
  <si>
    <t>купівлі- продажу канцтоварів</t>
  </si>
  <si>
    <t>ФОП Бердник Віталій Анатолійович</t>
  </si>
  <si>
    <t>Бердник В.А.</t>
  </si>
  <si>
    <t>69/21.04.2022</t>
  </si>
  <si>
    <t>67/20.04.2022</t>
  </si>
  <si>
    <t>65/15.04.2022</t>
  </si>
  <si>
    <t>52/58</t>
  </si>
  <si>
    <t>поставка нафтопродуктів</t>
  </si>
  <si>
    <t>ПП " Укргазнафта"</t>
  </si>
  <si>
    <t>Кирилюк Т.М.</t>
  </si>
  <si>
    <t>20/61</t>
  </si>
  <si>
    <t>34310000-3 34320000-6</t>
  </si>
  <si>
    <t>купівлі- продажу запасних частин для автомобілів</t>
  </si>
  <si>
    <t>ФОП Пірог В.В.</t>
  </si>
  <si>
    <t>Пірог В.В.</t>
  </si>
  <si>
    <t>34350000-5</t>
  </si>
  <si>
    <t>купівлі- продажу літньої гуми</t>
  </si>
  <si>
    <t>ККТП "Кобзар" ЮМР</t>
  </si>
  <si>
    <t>Письмак О.М.</t>
  </si>
  <si>
    <t>ДУ№1 від 26.04.2022(зміна реквізитів)</t>
  </si>
  <si>
    <t>1779/34/017-2022/40</t>
  </si>
  <si>
    <t>купівлі- продажу паперу</t>
  </si>
  <si>
    <t>ТОВ "Торново-Виробнича Група Український папір"</t>
  </si>
  <si>
    <t>Михайленко В.І.</t>
  </si>
  <si>
    <t>74/29.04.2022</t>
  </si>
  <si>
    <t>Про надання послуз з централізованого водопостачання</t>
  </si>
  <si>
    <t>КП "Грааль"</t>
  </si>
  <si>
    <t>Агафонов І.</t>
  </si>
  <si>
    <t>64/15.04.2022</t>
  </si>
  <si>
    <t>62/13.04.2022</t>
  </si>
  <si>
    <t>61/13.04.2022</t>
  </si>
  <si>
    <t>60/13.04.2022</t>
  </si>
  <si>
    <t>59/13.04.2022</t>
  </si>
  <si>
    <t>56/08.04.2022</t>
  </si>
  <si>
    <t>55/08.04.2022</t>
  </si>
  <si>
    <t>54/08.04.2022</t>
  </si>
  <si>
    <t>53/08.04.2022</t>
  </si>
  <si>
    <t>52/08.04.2022</t>
  </si>
  <si>
    <t>51/08.04.2022</t>
  </si>
  <si>
    <t>50/08.04.2022</t>
  </si>
  <si>
    <t>Про надання експлуатаційних послуг пов'язаних з утримання будинків і споруд та прибудинкових територій.смт.Костянтинівка пл.Соборна,20 приміщення № 15,17-20 площею 85,8кв.м.</t>
  </si>
  <si>
    <t>Салагор О.А.</t>
  </si>
  <si>
    <t>1/67</t>
  </si>
  <si>
    <t>3/68</t>
  </si>
  <si>
    <t>76/02.05.2022</t>
  </si>
  <si>
    <t>77/02.05.2022</t>
  </si>
  <si>
    <t>50410000-2</t>
  </si>
  <si>
    <t>Надання послуг з отримання технічного рішення на встановлення індивідуального приладу обліку електроенергії смт Костянтинівка,пл.Соборна 20 сл. Пиміщення №15,17-20</t>
  </si>
  <si>
    <t>91-1/66</t>
  </si>
  <si>
    <t>71340000-3</t>
  </si>
  <si>
    <t>Надання послуг з отримання акту рожмежування балансової належності електромереж бул.Цвіточний 9 , будівля Б-2Н,1й поверх,служб.приміщ.№6-8</t>
  </si>
  <si>
    <t xml:space="preserve">спрощена </t>
  </si>
  <si>
    <t>ДУ№1 від 30.05.2022(ставка2%)</t>
  </si>
  <si>
    <t>47/01.04.2022</t>
  </si>
  <si>
    <t>48/05.04.2022</t>
  </si>
  <si>
    <t>49/06.04.2022</t>
  </si>
  <si>
    <t>57/08.04.2022</t>
  </si>
  <si>
    <t>58/12.04.2022</t>
  </si>
  <si>
    <t>63/13.04.2022</t>
  </si>
  <si>
    <t>66/15.04.2022</t>
  </si>
  <si>
    <t>68/20.04.2022</t>
  </si>
  <si>
    <t>70/21.04.2022</t>
  </si>
  <si>
    <t>71/22.04.2022</t>
  </si>
  <si>
    <t>72/25.04.2022</t>
  </si>
  <si>
    <t>73/26.04.2022</t>
  </si>
  <si>
    <t>75/29.04.2022</t>
  </si>
  <si>
    <t>78/02.05.2022</t>
  </si>
  <si>
    <t>89/08.06.22</t>
  </si>
  <si>
    <t>79</t>
  </si>
  <si>
    <t xml:space="preserve">09310000-5 </t>
  </si>
  <si>
    <t>ПОН</t>
  </si>
  <si>
    <t>про постачання електричної енергії постачальником "останньої надії"</t>
  </si>
  <si>
    <t>19480600</t>
  </si>
  <si>
    <t>Мануйленко О.В.</t>
  </si>
  <si>
    <t>6939.07</t>
  </si>
  <si>
    <t>80</t>
  </si>
  <si>
    <t>90/10.06.22</t>
  </si>
  <si>
    <t>38550000-5 39830000-9 44310000-6 44320000-9</t>
  </si>
  <si>
    <t>купівлі-продажу електричного лічильника та витратних матеріалів</t>
  </si>
  <si>
    <t>ФОП Коржовська О.А.</t>
  </si>
  <si>
    <t>3182020865</t>
  </si>
  <si>
    <t>Коржовська О.А.</t>
  </si>
  <si>
    <t>92/16.06.22</t>
  </si>
  <si>
    <t>82</t>
  </si>
  <si>
    <t>22850000-3</t>
  </si>
  <si>
    <t>3153403953</t>
  </si>
  <si>
    <t>купівлі- продажу папок канцелярських</t>
  </si>
  <si>
    <t>93/20.06.22</t>
  </si>
  <si>
    <t>51110000-6</t>
  </si>
  <si>
    <t>Надання послуг з встановлення електричногго лічильника</t>
  </si>
  <si>
    <t>94/21.06.22</t>
  </si>
  <si>
    <t>84</t>
  </si>
  <si>
    <t>Про надання послуг юридичного консультування та правової допомоги</t>
  </si>
  <si>
    <t>Адвокатське бюро Борисенко О.В.</t>
  </si>
  <si>
    <t>95/21.06.22</t>
  </si>
  <si>
    <t>85</t>
  </si>
  <si>
    <t>52/83</t>
  </si>
  <si>
    <t>39830000-9 19640000-4</t>
  </si>
  <si>
    <t>Купівлі продажу продукції для чищення, поліетиленові мішки та пакети для сміття</t>
  </si>
  <si>
    <t>ТОВ " Телос Компані"</t>
  </si>
  <si>
    <t>41893248</t>
  </si>
  <si>
    <t>Кулик Н.В.</t>
  </si>
  <si>
    <t>96/21.06.22</t>
  </si>
  <si>
    <t>86</t>
  </si>
  <si>
    <t>97/23.06.22</t>
  </si>
  <si>
    <t>87</t>
  </si>
  <si>
    <t>36Б/42</t>
  </si>
  <si>
    <t>44520000-1</t>
  </si>
  <si>
    <t>ФОП Красовська Р.І.</t>
  </si>
  <si>
    <t>Красовська Р.І.</t>
  </si>
  <si>
    <t>2035407826</t>
  </si>
  <si>
    <t>купівлі продажу товару (замки, ключі та петлі</t>
  </si>
  <si>
    <t>42130000-9</t>
  </si>
  <si>
    <t>купівлі- продажу товару ( арматура трубопровідна: крани, вентилі, клапани та подібні пристрої.</t>
  </si>
  <si>
    <t>90</t>
  </si>
  <si>
    <t>ФОП Лук'янчук</t>
  </si>
  <si>
    <t>50110000-9</t>
  </si>
  <si>
    <t>2624809910</t>
  </si>
  <si>
    <t>Лук'янчук Михайло Леонідович</t>
  </si>
  <si>
    <t>Про надання послуг з поточного ремонту та технічного обслуговування автомобілів</t>
  </si>
  <si>
    <t>100/27.06.22</t>
  </si>
  <si>
    <t>ДУ№1від 27.09.22(зміна прайсу)</t>
  </si>
  <si>
    <t>ДУ№1 від 17.10.22 (зменьшення суми договору на 102212,00)</t>
  </si>
  <si>
    <t>ДУ№1 від 04.11.22 ( зменшення суми на 3820)</t>
  </si>
  <si>
    <t xml:space="preserve">ДУ№1 від 17.10.22 </t>
  </si>
  <si>
    <t xml:space="preserve">ДУ№ 1 від 09.06.22 </t>
  </si>
  <si>
    <t xml:space="preserve">ДУ№1 від 26.10.22 </t>
  </si>
  <si>
    <t>ДУ №1 від 26.04.2022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</si>
</sst>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4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43"/>
  <sheetViews>
    <sheetView tabSelected="1" view="pageBreakPreview" zoomScaleSheetLayoutView="100" workbookViewId="0">
      <pane ySplit="2" topLeftCell="A3" activePane="bottomLeft" state="frozen"/>
      <selection pane="bottomLeft" activeCell="P42" sqref="P42"/>
    </sheetView>
  </sheetViews>
  <sheetFormatPr defaultRowHeight="15" x14ac:dyDescent="0.25"/>
  <cols>
    <col min="1" max="1" width="12.42578125" style="10" customWidth="1"/>
    <col min="2" max="2" width="13.42578125" style="12" customWidth="1"/>
    <col min="3" max="3" width="11.85546875" style="12" customWidth="1"/>
    <col min="4" max="4" width="11.5703125" style="12" customWidth="1"/>
    <col min="5" max="5" width="30.7109375" style="8" customWidth="1"/>
    <col min="6" max="6" width="24.5703125" style="8" customWidth="1"/>
    <col min="7" max="7" width="11.140625" style="12" customWidth="1"/>
    <col min="8" max="8" width="23.85546875" style="8" customWidth="1"/>
    <col min="9" max="9" width="10.28515625" style="11" bestFit="1" customWidth="1"/>
    <col min="10" max="10" width="10.28515625" style="8" bestFit="1" customWidth="1"/>
    <col min="11" max="11" width="20.28515625" style="13" customWidth="1"/>
    <col min="12" max="12" width="15" style="9" bestFit="1" customWidth="1"/>
    <col min="13" max="13" width="14.5703125" style="9" customWidth="1"/>
    <col min="14" max="14" width="16.5703125" style="9" customWidth="1"/>
    <col min="15" max="16384" width="9.140625" style="8"/>
  </cols>
  <sheetData>
    <row r="1" spans="1:16" s="7" customFormat="1" ht="15.75" customHeight="1" x14ac:dyDescent="0.25">
      <c r="A1" s="40" t="s">
        <v>101</v>
      </c>
      <c r="B1" s="42" t="s">
        <v>0</v>
      </c>
      <c r="C1" s="42" t="s">
        <v>11</v>
      </c>
      <c r="D1" s="49" t="s">
        <v>7</v>
      </c>
      <c r="E1" s="44" t="s">
        <v>10</v>
      </c>
      <c r="F1" s="44" t="s">
        <v>1</v>
      </c>
      <c r="G1" s="42" t="s">
        <v>8</v>
      </c>
      <c r="H1" s="44" t="s">
        <v>9</v>
      </c>
      <c r="I1" s="44" t="s">
        <v>2</v>
      </c>
      <c r="J1" s="44"/>
      <c r="K1" s="51" t="s">
        <v>12</v>
      </c>
      <c r="L1" s="46" t="s">
        <v>4</v>
      </c>
      <c r="M1" s="46" t="s">
        <v>13</v>
      </c>
      <c r="N1" s="46" t="s">
        <v>5</v>
      </c>
    </row>
    <row r="2" spans="1:16" s="7" customFormat="1" ht="33" customHeight="1" x14ac:dyDescent="0.25">
      <c r="A2" s="41"/>
      <c r="B2" s="43"/>
      <c r="C2" s="43"/>
      <c r="D2" s="50"/>
      <c r="E2" s="45"/>
      <c r="F2" s="45"/>
      <c r="G2" s="43"/>
      <c r="H2" s="45"/>
      <c r="I2" s="24" t="s">
        <v>6</v>
      </c>
      <c r="J2" s="25" t="s">
        <v>3</v>
      </c>
      <c r="K2" s="52"/>
      <c r="L2" s="47"/>
      <c r="M2" s="48"/>
      <c r="N2" s="48"/>
    </row>
    <row r="3" spans="1:16" s="31" customFormat="1" ht="45" x14ac:dyDescent="0.25">
      <c r="A3" s="7" t="s">
        <v>156</v>
      </c>
      <c r="B3" s="26" t="s">
        <v>43</v>
      </c>
      <c r="C3" s="7" t="s">
        <v>76</v>
      </c>
      <c r="D3" s="10" t="s">
        <v>44</v>
      </c>
      <c r="E3" s="7" t="s">
        <v>45</v>
      </c>
      <c r="F3" s="7" t="s">
        <v>46</v>
      </c>
      <c r="G3" s="7">
        <v>2381105924</v>
      </c>
      <c r="H3" s="7" t="s">
        <v>47</v>
      </c>
      <c r="I3" s="11">
        <v>44655</v>
      </c>
      <c r="J3" s="11">
        <v>44712</v>
      </c>
      <c r="K3" s="28"/>
      <c r="L3" s="27">
        <v>15000</v>
      </c>
      <c r="M3" s="29"/>
      <c r="N3" s="18">
        <v>15000</v>
      </c>
      <c r="O3" s="38"/>
      <c r="P3" s="38"/>
    </row>
    <row r="4" spans="1:16" s="32" customFormat="1" ht="30" x14ac:dyDescent="0.25">
      <c r="A4" s="7" t="s">
        <v>157</v>
      </c>
      <c r="B4" s="26">
        <v>38</v>
      </c>
      <c r="C4" s="7" t="s">
        <v>76</v>
      </c>
      <c r="D4" s="10" t="s">
        <v>39</v>
      </c>
      <c r="E4" s="7" t="s">
        <v>40</v>
      </c>
      <c r="F4" s="7" t="s">
        <v>41</v>
      </c>
      <c r="G4" s="7">
        <v>1813906559</v>
      </c>
      <c r="H4" s="7" t="s">
        <v>42</v>
      </c>
      <c r="I4" s="11">
        <v>44656</v>
      </c>
      <c r="J4" s="11">
        <v>44712</v>
      </c>
      <c r="K4" s="28"/>
      <c r="L4" s="27">
        <v>25610</v>
      </c>
      <c r="M4" s="29"/>
      <c r="N4" s="18">
        <v>25610</v>
      </c>
      <c r="O4" s="39"/>
      <c r="P4" s="39"/>
    </row>
    <row r="5" spans="1:16" ht="30" x14ac:dyDescent="0.25">
      <c r="A5" s="53" t="s">
        <v>158</v>
      </c>
      <c r="B5" s="54">
        <v>39</v>
      </c>
      <c r="C5" s="53" t="s">
        <v>76</v>
      </c>
      <c r="D5" s="55" t="s">
        <v>48</v>
      </c>
      <c r="E5" s="53" t="s">
        <v>49</v>
      </c>
      <c r="F5" s="53" t="s">
        <v>50</v>
      </c>
      <c r="G5" s="53">
        <v>2595506740</v>
      </c>
      <c r="H5" s="53" t="s">
        <v>33</v>
      </c>
      <c r="I5" s="56">
        <v>44657</v>
      </c>
      <c r="J5" s="56">
        <v>44712</v>
      </c>
      <c r="K5" s="57"/>
      <c r="L5" s="58">
        <v>32500</v>
      </c>
      <c r="M5" s="59"/>
      <c r="N5" s="60">
        <v>32500</v>
      </c>
    </row>
    <row r="6" spans="1:16" ht="75" x14ac:dyDescent="0.25">
      <c r="A6" s="7" t="s">
        <v>142</v>
      </c>
      <c r="B6" s="26" t="s">
        <v>123</v>
      </c>
      <c r="C6" s="7" t="s">
        <v>15</v>
      </c>
      <c r="D6" s="10" t="s">
        <v>51</v>
      </c>
      <c r="E6" s="7" t="s">
        <v>52</v>
      </c>
      <c r="F6" s="7" t="s">
        <v>26</v>
      </c>
      <c r="G6" s="7">
        <v>40109016</v>
      </c>
      <c r="H6" s="7" t="s">
        <v>27</v>
      </c>
      <c r="I6" s="11">
        <v>44562</v>
      </c>
      <c r="J6" s="11">
        <v>44926</v>
      </c>
      <c r="K6" s="28"/>
      <c r="L6" s="27">
        <v>16800</v>
      </c>
      <c r="M6" s="29"/>
      <c r="N6" s="18">
        <v>16800</v>
      </c>
    </row>
    <row r="7" spans="1:16" ht="75" x14ac:dyDescent="0.25">
      <c r="A7" s="7" t="s">
        <v>141</v>
      </c>
      <c r="B7" s="26" t="s">
        <v>53</v>
      </c>
      <c r="C7" s="7" t="s">
        <v>15</v>
      </c>
      <c r="D7" s="10" t="s">
        <v>19</v>
      </c>
      <c r="E7" s="7" t="s">
        <v>54</v>
      </c>
      <c r="F7" s="7" t="s">
        <v>55</v>
      </c>
      <c r="G7" s="7">
        <v>32348248</v>
      </c>
      <c r="H7" s="7" t="s">
        <v>56</v>
      </c>
      <c r="I7" s="11">
        <v>44562</v>
      </c>
      <c r="J7" s="11">
        <v>44926</v>
      </c>
      <c r="K7" s="28" t="s">
        <v>227</v>
      </c>
      <c r="L7" s="27">
        <v>62744.88</v>
      </c>
      <c r="M7" s="29">
        <v>10457.48</v>
      </c>
      <c r="N7" s="30">
        <f>L7-M7</f>
        <v>52287.399999999994</v>
      </c>
    </row>
    <row r="8" spans="1:16" ht="75" x14ac:dyDescent="0.25">
      <c r="A8" s="7" t="s">
        <v>140</v>
      </c>
      <c r="B8" s="26" t="s">
        <v>209</v>
      </c>
      <c r="C8" s="7" t="s">
        <v>15</v>
      </c>
      <c r="D8" s="10" t="s">
        <v>57</v>
      </c>
      <c r="E8" s="7" t="s">
        <v>58</v>
      </c>
      <c r="F8" s="7" t="s">
        <v>37</v>
      </c>
      <c r="G8" s="7">
        <v>31948866</v>
      </c>
      <c r="H8" s="7" t="s">
        <v>38</v>
      </c>
      <c r="I8" s="11">
        <v>44562</v>
      </c>
      <c r="J8" s="11">
        <v>44926</v>
      </c>
      <c r="K8" s="28" t="s">
        <v>228</v>
      </c>
      <c r="L8" s="27">
        <v>90624.33</v>
      </c>
      <c r="M8" s="35" t="s">
        <v>177</v>
      </c>
      <c r="N8" s="37">
        <v>97563.4</v>
      </c>
    </row>
    <row r="9" spans="1:16" ht="75" x14ac:dyDescent="0.25">
      <c r="A9" s="7" t="s">
        <v>139</v>
      </c>
      <c r="B9" s="26" t="s">
        <v>59</v>
      </c>
      <c r="C9" s="7" t="s">
        <v>15</v>
      </c>
      <c r="D9" s="10" t="s">
        <v>60</v>
      </c>
      <c r="E9" s="7" t="s">
        <v>61</v>
      </c>
      <c r="F9" s="7" t="s">
        <v>37</v>
      </c>
      <c r="G9" s="7">
        <v>31948866</v>
      </c>
      <c r="H9" s="7" t="s">
        <v>38</v>
      </c>
      <c r="I9" s="11">
        <v>44562</v>
      </c>
      <c r="J9" s="11">
        <v>44926</v>
      </c>
      <c r="K9" s="28" t="s">
        <v>229</v>
      </c>
      <c r="L9" s="27">
        <v>14235.97</v>
      </c>
      <c r="M9" s="29">
        <v>2668</v>
      </c>
      <c r="N9" s="30">
        <f>L9+M9</f>
        <v>16903.97</v>
      </c>
    </row>
    <row r="10" spans="1:16" ht="75" x14ac:dyDescent="0.25">
      <c r="A10" s="7" t="s">
        <v>138</v>
      </c>
      <c r="B10" s="26" t="s">
        <v>62</v>
      </c>
      <c r="C10" s="7" t="s">
        <v>15</v>
      </c>
      <c r="D10" s="10" t="s">
        <v>57</v>
      </c>
      <c r="E10" s="7" t="s">
        <v>63</v>
      </c>
      <c r="F10" s="7" t="s">
        <v>37</v>
      </c>
      <c r="G10" s="7">
        <v>31948866</v>
      </c>
      <c r="H10" s="7" t="s">
        <v>38</v>
      </c>
      <c r="I10" s="11">
        <v>44562</v>
      </c>
      <c r="J10" s="11">
        <v>44926</v>
      </c>
      <c r="K10" s="28"/>
      <c r="L10" s="27">
        <v>1583.92</v>
      </c>
      <c r="M10" s="29"/>
      <c r="N10" s="18">
        <v>1583.92</v>
      </c>
    </row>
    <row r="11" spans="1:16" s="31" customFormat="1" ht="75" x14ac:dyDescent="0.25">
      <c r="A11" s="7" t="s">
        <v>137</v>
      </c>
      <c r="B11" s="26" t="s">
        <v>66</v>
      </c>
      <c r="C11" s="7" t="s">
        <v>15</v>
      </c>
      <c r="D11" s="10" t="s">
        <v>64</v>
      </c>
      <c r="E11" s="7" t="s">
        <v>65</v>
      </c>
      <c r="F11" s="7" t="s">
        <v>37</v>
      </c>
      <c r="G11" s="7">
        <v>31948866</v>
      </c>
      <c r="H11" s="7" t="s">
        <v>38</v>
      </c>
      <c r="I11" s="11">
        <v>44562</v>
      </c>
      <c r="J11" s="11">
        <v>44926</v>
      </c>
      <c r="K11" s="28" t="s">
        <v>229</v>
      </c>
      <c r="L11" s="27">
        <v>17078.330000000002</v>
      </c>
      <c r="M11" s="29">
        <v>3229</v>
      </c>
      <c r="N11" s="30">
        <f>L11+M11</f>
        <v>20307.330000000002</v>
      </c>
      <c r="O11" s="38"/>
      <c r="P11" s="38"/>
    </row>
    <row r="12" spans="1:16" s="31" customFormat="1" ht="75" x14ac:dyDescent="0.25">
      <c r="A12" s="7" t="s">
        <v>136</v>
      </c>
      <c r="B12" s="26">
        <v>46</v>
      </c>
      <c r="C12" s="7" t="s">
        <v>15</v>
      </c>
      <c r="D12" s="10" t="s">
        <v>67</v>
      </c>
      <c r="E12" s="7" t="s">
        <v>68</v>
      </c>
      <c r="F12" s="7" t="s">
        <v>69</v>
      </c>
      <c r="G12" s="7">
        <v>2067423708</v>
      </c>
      <c r="H12" s="7" t="s">
        <v>70</v>
      </c>
      <c r="I12" s="11">
        <v>44659</v>
      </c>
      <c r="J12" s="11">
        <v>44712</v>
      </c>
      <c r="K12" s="28"/>
      <c r="L12" s="27">
        <v>1696</v>
      </c>
      <c r="M12" s="29"/>
      <c r="N12" s="18">
        <v>1696</v>
      </c>
      <c r="O12" s="38"/>
      <c r="P12" s="38"/>
    </row>
    <row r="13" spans="1:16" ht="30" x14ac:dyDescent="0.25">
      <c r="A13" s="7" t="s">
        <v>159</v>
      </c>
      <c r="B13" s="26">
        <v>47</v>
      </c>
      <c r="C13" s="7" t="s">
        <v>76</v>
      </c>
      <c r="D13" s="10" t="s">
        <v>71</v>
      </c>
      <c r="E13" s="7" t="s">
        <v>72</v>
      </c>
      <c r="F13" s="7" t="s">
        <v>73</v>
      </c>
      <c r="G13" s="7">
        <v>3317808640</v>
      </c>
      <c r="H13" s="7" t="s">
        <v>74</v>
      </c>
      <c r="I13" s="11">
        <v>44659</v>
      </c>
      <c r="J13" s="11">
        <v>44712</v>
      </c>
      <c r="K13" s="28"/>
      <c r="L13" s="27">
        <v>314000</v>
      </c>
      <c r="M13" s="29"/>
      <c r="N13" s="18">
        <v>314000</v>
      </c>
    </row>
    <row r="14" spans="1:16" ht="75" x14ac:dyDescent="0.25">
      <c r="A14" s="7" t="s">
        <v>160</v>
      </c>
      <c r="B14" s="26">
        <v>48</v>
      </c>
      <c r="C14" s="7" t="s">
        <v>15</v>
      </c>
      <c r="D14" s="10" t="s">
        <v>57</v>
      </c>
      <c r="E14" s="7" t="s">
        <v>75</v>
      </c>
      <c r="F14" s="7" t="s">
        <v>30</v>
      </c>
      <c r="G14" s="7">
        <v>3005511</v>
      </c>
      <c r="H14" s="7" t="s">
        <v>31</v>
      </c>
      <c r="I14" s="11">
        <v>44562</v>
      </c>
      <c r="J14" s="11">
        <v>44926</v>
      </c>
      <c r="K14" s="28" t="s">
        <v>230</v>
      </c>
      <c r="L14" s="27">
        <v>12383.86</v>
      </c>
      <c r="M14" s="29"/>
      <c r="N14" s="18">
        <v>12383.86</v>
      </c>
    </row>
    <row r="15" spans="1:16" ht="75" x14ac:dyDescent="0.25">
      <c r="A15" s="7" t="s">
        <v>135</v>
      </c>
      <c r="B15" s="26" t="s">
        <v>80</v>
      </c>
      <c r="C15" s="7" t="s">
        <v>15</v>
      </c>
      <c r="D15" s="10" t="s">
        <v>77</v>
      </c>
      <c r="E15" s="7" t="s">
        <v>78</v>
      </c>
      <c r="F15" s="7" t="s">
        <v>79</v>
      </c>
      <c r="G15" s="7">
        <v>31537375</v>
      </c>
      <c r="H15" s="7" t="s">
        <v>18</v>
      </c>
      <c r="I15" s="11">
        <v>44562</v>
      </c>
      <c r="J15" s="11">
        <v>44926</v>
      </c>
      <c r="K15" s="28" t="s">
        <v>155</v>
      </c>
      <c r="L15" s="27">
        <v>2598.37</v>
      </c>
      <c r="M15" s="29"/>
      <c r="N15" s="18">
        <v>2598.37</v>
      </c>
    </row>
    <row r="16" spans="1:16" ht="75" x14ac:dyDescent="0.25">
      <c r="A16" s="7" t="s">
        <v>134</v>
      </c>
      <c r="B16" s="26" t="s">
        <v>81</v>
      </c>
      <c r="C16" s="7" t="s">
        <v>15</v>
      </c>
      <c r="D16" s="10" t="s">
        <v>77</v>
      </c>
      <c r="E16" s="7" t="s">
        <v>82</v>
      </c>
      <c r="F16" s="7" t="s">
        <v>79</v>
      </c>
      <c r="G16" s="7">
        <v>31537375</v>
      </c>
      <c r="H16" s="7" t="s">
        <v>18</v>
      </c>
      <c r="I16" s="11">
        <v>44562</v>
      </c>
      <c r="J16" s="11">
        <v>44926</v>
      </c>
      <c r="K16" s="28" t="s">
        <v>155</v>
      </c>
      <c r="L16" s="27"/>
      <c r="M16" s="29"/>
      <c r="N16" s="18">
        <v>78720.03</v>
      </c>
    </row>
    <row r="17" spans="1:14" ht="75" x14ac:dyDescent="0.25">
      <c r="A17" s="7" t="s">
        <v>133</v>
      </c>
      <c r="B17" s="26" t="s">
        <v>83</v>
      </c>
      <c r="C17" s="7" t="s">
        <v>15</v>
      </c>
      <c r="D17" s="10" t="s">
        <v>77</v>
      </c>
      <c r="E17" s="7" t="s">
        <v>84</v>
      </c>
      <c r="F17" s="7" t="s">
        <v>79</v>
      </c>
      <c r="G17" s="7">
        <v>31537375</v>
      </c>
      <c r="H17" s="7" t="s">
        <v>18</v>
      </c>
      <c r="I17" s="11">
        <v>44562</v>
      </c>
      <c r="J17" s="11">
        <v>44926</v>
      </c>
      <c r="K17" s="28" t="s">
        <v>155</v>
      </c>
      <c r="L17" s="27">
        <v>14370.16</v>
      </c>
      <c r="M17" s="29"/>
      <c r="N17" s="18">
        <v>14370.16</v>
      </c>
    </row>
    <row r="18" spans="1:14" ht="75" x14ac:dyDescent="0.25">
      <c r="A18" s="7" t="s">
        <v>132</v>
      </c>
      <c r="B18" s="26" t="s">
        <v>85</v>
      </c>
      <c r="C18" s="7" t="s">
        <v>15</v>
      </c>
      <c r="D18" s="10" t="s">
        <v>77</v>
      </c>
      <c r="E18" s="7" t="s">
        <v>86</v>
      </c>
      <c r="F18" s="7" t="s">
        <v>79</v>
      </c>
      <c r="G18" s="7">
        <v>31537375</v>
      </c>
      <c r="H18" s="7" t="s">
        <v>18</v>
      </c>
      <c r="I18" s="11">
        <v>44562</v>
      </c>
      <c r="J18" s="11">
        <v>44926</v>
      </c>
      <c r="K18" s="28" t="s">
        <v>155</v>
      </c>
      <c r="L18" s="27">
        <v>57025.98</v>
      </c>
      <c r="M18" s="29"/>
      <c r="N18" s="18">
        <v>57025.98</v>
      </c>
    </row>
    <row r="19" spans="1:14" ht="75" x14ac:dyDescent="0.25">
      <c r="A19" s="7" t="s">
        <v>161</v>
      </c>
      <c r="B19" s="26" t="s">
        <v>87</v>
      </c>
      <c r="C19" s="7" t="s">
        <v>15</v>
      </c>
      <c r="D19" s="10" t="s">
        <v>77</v>
      </c>
      <c r="E19" s="7" t="s">
        <v>88</v>
      </c>
      <c r="F19" s="7" t="s">
        <v>79</v>
      </c>
      <c r="G19" s="7">
        <v>31537375</v>
      </c>
      <c r="H19" s="7" t="s">
        <v>18</v>
      </c>
      <c r="I19" s="11">
        <v>44562</v>
      </c>
      <c r="J19" s="11">
        <v>44926</v>
      </c>
      <c r="K19" s="28" t="s">
        <v>155</v>
      </c>
      <c r="L19" s="27">
        <v>13800.2</v>
      </c>
      <c r="M19" s="29"/>
      <c r="N19" s="18">
        <v>13800.2</v>
      </c>
    </row>
    <row r="20" spans="1:14" ht="75" x14ac:dyDescent="0.25">
      <c r="A20" s="7" t="s">
        <v>131</v>
      </c>
      <c r="B20" s="26" t="s">
        <v>89</v>
      </c>
      <c r="C20" s="7" t="s">
        <v>15</v>
      </c>
      <c r="D20" s="10" t="s">
        <v>21</v>
      </c>
      <c r="E20" s="7" t="s">
        <v>90</v>
      </c>
      <c r="F20" s="7" t="s">
        <v>22</v>
      </c>
      <c r="G20" s="7">
        <v>30115243</v>
      </c>
      <c r="H20" s="7" t="s">
        <v>23</v>
      </c>
      <c r="I20" s="11">
        <v>44666</v>
      </c>
      <c r="J20" s="11">
        <v>45030</v>
      </c>
      <c r="K20" s="28"/>
      <c r="L20" s="27">
        <v>1076</v>
      </c>
      <c r="M20" s="29"/>
      <c r="N20" s="18">
        <v>1076</v>
      </c>
    </row>
    <row r="21" spans="1:14" ht="75" x14ac:dyDescent="0.25">
      <c r="A21" s="7" t="s">
        <v>108</v>
      </c>
      <c r="B21" s="26">
        <v>55</v>
      </c>
      <c r="C21" s="7" t="s">
        <v>15</v>
      </c>
      <c r="D21" s="10" t="s">
        <v>91</v>
      </c>
      <c r="E21" s="7" t="s">
        <v>92</v>
      </c>
      <c r="F21" s="7" t="s">
        <v>20</v>
      </c>
      <c r="G21" s="7">
        <v>30055111</v>
      </c>
      <c r="H21" s="7" t="s">
        <v>93</v>
      </c>
      <c r="I21" s="11">
        <v>44562</v>
      </c>
      <c r="J21" s="11">
        <v>44926</v>
      </c>
      <c r="K21" s="28" t="s">
        <v>122</v>
      </c>
      <c r="L21" s="27">
        <v>16148.06</v>
      </c>
      <c r="M21" s="29"/>
      <c r="N21" s="18">
        <v>16148.06</v>
      </c>
    </row>
    <row r="22" spans="1:14" ht="30" x14ac:dyDescent="0.25">
      <c r="A22" s="7" t="s">
        <v>162</v>
      </c>
      <c r="B22" s="26" t="s">
        <v>98</v>
      </c>
      <c r="C22" s="7" t="s">
        <v>76</v>
      </c>
      <c r="D22" s="10" t="s">
        <v>29</v>
      </c>
      <c r="E22" s="7" t="s">
        <v>36</v>
      </c>
      <c r="F22" s="7" t="s">
        <v>30</v>
      </c>
      <c r="G22" s="7">
        <v>30055111</v>
      </c>
      <c r="H22" s="7" t="s">
        <v>93</v>
      </c>
      <c r="I22" s="11">
        <v>44666</v>
      </c>
      <c r="J22" s="11">
        <v>44676</v>
      </c>
      <c r="K22" s="28"/>
      <c r="L22" s="27">
        <v>9500.06</v>
      </c>
      <c r="M22" s="29"/>
      <c r="N22" s="18">
        <v>9500.06</v>
      </c>
    </row>
    <row r="23" spans="1:14" ht="30" x14ac:dyDescent="0.25">
      <c r="A23" s="7" t="s">
        <v>107</v>
      </c>
      <c r="B23" s="26">
        <v>57</v>
      </c>
      <c r="C23" s="7" t="s">
        <v>76</v>
      </c>
      <c r="D23" s="10" t="s">
        <v>94</v>
      </c>
      <c r="E23" s="7" t="s">
        <v>95</v>
      </c>
      <c r="F23" s="7" t="s">
        <v>96</v>
      </c>
      <c r="G23" s="7">
        <v>3317808640</v>
      </c>
      <c r="H23" s="7" t="s">
        <v>97</v>
      </c>
      <c r="I23" s="11">
        <v>44671</v>
      </c>
      <c r="J23" s="11">
        <v>44712</v>
      </c>
      <c r="K23" s="28"/>
      <c r="L23" s="27">
        <v>110000</v>
      </c>
      <c r="M23" s="29"/>
      <c r="N23" s="18">
        <v>110000</v>
      </c>
    </row>
    <row r="24" spans="1:14" ht="30" x14ac:dyDescent="0.25">
      <c r="A24" s="7" t="s">
        <v>163</v>
      </c>
      <c r="B24" s="26" t="s">
        <v>109</v>
      </c>
      <c r="C24" s="7" t="s">
        <v>76</v>
      </c>
      <c r="D24" s="10" t="s">
        <v>29</v>
      </c>
      <c r="E24" s="7" t="s">
        <v>36</v>
      </c>
      <c r="F24" s="7" t="s">
        <v>30</v>
      </c>
      <c r="G24" s="7">
        <v>30055111</v>
      </c>
      <c r="H24" s="7" t="s">
        <v>93</v>
      </c>
      <c r="I24" s="11">
        <v>44671</v>
      </c>
      <c r="J24" s="11">
        <v>44926</v>
      </c>
      <c r="K24" s="28"/>
      <c r="L24" s="27">
        <v>60000</v>
      </c>
      <c r="M24" s="29"/>
      <c r="N24" s="18">
        <v>60000</v>
      </c>
    </row>
    <row r="25" spans="1:14" ht="75" x14ac:dyDescent="0.25">
      <c r="A25" s="7" t="s">
        <v>106</v>
      </c>
      <c r="B25" s="26">
        <v>59</v>
      </c>
      <c r="C25" s="7" t="s">
        <v>154</v>
      </c>
      <c r="D25" s="10" t="s">
        <v>24</v>
      </c>
      <c r="E25" s="7" t="s">
        <v>99</v>
      </c>
      <c r="F25" s="7" t="s">
        <v>25</v>
      </c>
      <c r="G25" s="7">
        <v>20872794</v>
      </c>
      <c r="H25" s="7" t="s">
        <v>100</v>
      </c>
      <c r="I25" s="11">
        <v>44672</v>
      </c>
      <c r="J25" s="11">
        <v>44926</v>
      </c>
      <c r="K25" s="28"/>
      <c r="L25" s="27">
        <v>164640</v>
      </c>
      <c r="M25" s="29"/>
      <c r="N25" s="18">
        <v>164640</v>
      </c>
    </row>
    <row r="26" spans="1:14" ht="30" x14ac:dyDescent="0.25">
      <c r="A26" s="7" t="s">
        <v>164</v>
      </c>
      <c r="B26" s="26">
        <v>60</v>
      </c>
      <c r="C26" s="7" t="s">
        <v>154</v>
      </c>
      <c r="D26" s="10" t="s">
        <v>102</v>
      </c>
      <c r="E26" s="7" t="s">
        <v>103</v>
      </c>
      <c r="F26" s="7" t="s">
        <v>104</v>
      </c>
      <c r="G26" s="7">
        <v>3153403953</v>
      </c>
      <c r="H26" s="7" t="s">
        <v>105</v>
      </c>
      <c r="I26" s="11">
        <v>44672</v>
      </c>
      <c r="J26" s="11">
        <v>44926</v>
      </c>
      <c r="K26" s="28"/>
      <c r="L26" s="27">
        <v>19995</v>
      </c>
      <c r="M26" s="29"/>
      <c r="N26" s="18">
        <v>19995</v>
      </c>
    </row>
    <row r="27" spans="1:14" ht="30" x14ac:dyDescent="0.25">
      <c r="A27" s="7" t="s">
        <v>165</v>
      </c>
      <c r="B27" s="26" t="s">
        <v>113</v>
      </c>
      <c r="C27" s="7" t="s">
        <v>76</v>
      </c>
      <c r="D27" s="10" t="s">
        <v>32</v>
      </c>
      <c r="E27" s="7" t="s">
        <v>110</v>
      </c>
      <c r="F27" s="7" t="s">
        <v>111</v>
      </c>
      <c r="G27" s="7">
        <v>37113698</v>
      </c>
      <c r="H27" s="7" t="s">
        <v>112</v>
      </c>
      <c r="I27" s="11">
        <v>44673</v>
      </c>
      <c r="J27" s="11">
        <v>44712</v>
      </c>
      <c r="K27" s="28"/>
      <c r="L27" s="27">
        <v>554216</v>
      </c>
      <c r="M27" s="29"/>
      <c r="N27" s="18">
        <v>554216</v>
      </c>
    </row>
    <row r="28" spans="1:14" ht="75" x14ac:dyDescent="0.25">
      <c r="A28" s="7" t="s">
        <v>166</v>
      </c>
      <c r="B28" s="26">
        <v>62</v>
      </c>
      <c r="C28" s="7" t="s">
        <v>15</v>
      </c>
      <c r="D28" s="10" t="s">
        <v>114</v>
      </c>
      <c r="E28" s="7" t="s">
        <v>115</v>
      </c>
      <c r="F28" s="7" t="s">
        <v>116</v>
      </c>
      <c r="G28" s="7">
        <v>2405515914</v>
      </c>
      <c r="H28" s="7" t="s">
        <v>117</v>
      </c>
      <c r="I28" s="11">
        <v>44676</v>
      </c>
      <c r="J28" s="11">
        <v>44712</v>
      </c>
      <c r="K28" s="28"/>
      <c r="L28" s="27">
        <v>1955</v>
      </c>
      <c r="M28" s="29"/>
      <c r="N28" s="18">
        <v>1955</v>
      </c>
    </row>
    <row r="29" spans="1:14" ht="75" x14ac:dyDescent="0.25">
      <c r="A29" s="7" t="s">
        <v>167</v>
      </c>
      <c r="B29" s="26">
        <v>63</v>
      </c>
      <c r="C29" s="7" t="s">
        <v>15</v>
      </c>
      <c r="D29" s="10" t="s">
        <v>118</v>
      </c>
      <c r="E29" s="7" t="s">
        <v>119</v>
      </c>
      <c r="F29" s="7" t="s">
        <v>120</v>
      </c>
      <c r="G29" s="7">
        <v>192961144</v>
      </c>
      <c r="H29" s="7" t="s">
        <v>121</v>
      </c>
      <c r="I29" s="11">
        <v>44677</v>
      </c>
      <c r="J29" s="11">
        <v>44712</v>
      </c>
      <c r="K29" s="28"/>
      <c r="L29" s="27">
        <v>13120</v>
      </c>
      <c r="M29" s="29"/>
      <c r="N29" s="18">
        <v>13120</v>
      </c>
    </row>
    <row r="30" spans="1:14" ht="45" x14ac:dyDescent="0.25">
      <c r="A30" s="7" t="s">
        <v>127</v>
      </c>
      <c r="B30" s="26">
        <v>64</v>
      </c>
      <c r="C30" s="7" t="s">
        <v>154</v>
      </c>
      <c r="D30" s="10" t="s">
        <v>102</v>
      </c>
      <c r="E30" s="7" t="s">
        <v>124</v>
      </c>
      <c r="F30" s="7" t="s">
        <v>125</v>
      </c>
      <c r="G30" s="7">
        <v>43977041</v>
      </c>
      <c r="H30" s="7" t="s">
        <v>126</v>
      </c>
      <c r="I30" s="11">
        <v>44680</v>
      </c>
      <c r="J30" s="11">
        <v>44926</v>
      </c>
      <c r="K30" s="28"/>
      <c r="L30" s="27">
        <v>100958.39999999999</v>
      </c>
      <c r="M30" s="29"/>
      <c r="N30" s="18">
        <v>100958.39999999999</v>
      </c>
    </row>
    <row r="31" spans="1:14" ht="42" customHeight="1" x14ac:dyDescent="0.25">
      <c r="A31" s="7" t="s">
        <v>168</v>
      </c>
      <c r="B31" s="26">
        <v>65</v>
      </c>
      <c r="C31" s="7" t="s">
        <v>15</v>
      </c>
      <c r="D31" s="10" t="s">
        <v>60</v>
      </c>
      <c r="E31" s="7" t="s">
        <v>128</v>
      </c>
      <c r="F31" s="7" t="s">
        <v>129</v>
      </c>
      <c r="G31" s="7">
        <v>41340464</v>
      </c>
      <c r="H31" s="7" t="s">
        <v>130</v>
      </c>
      <c r="I31" s="11">
        <v>44680</v>
      </c>
      <c r="J31" s="11">
        <v>44926</v>
      </c>
      <c r="K31" s="28"/>
      <c r="L31" s="27">
        <v>526.80999999999995</v>
      </c>
      <c r="M31" s="29"/>
      <c r="N31" s="18">
        <v>526.80999999999995</v>
      </c>
    </row>
    <row r="32" spans="1:14" ht="108" customHeight="1" x14ac:dyDescent="0.25">
      <c r="A32" s="33" t="s">
        <v>147</v>
      </c>
      <c r="B32" s="14" t="s">
        <v>151</v>
      </c>
      <c r="C32" s="3" t="s">
        <v>15</v>
      </c>
      <c r="D32" s="6" t="s">
        <v>91</v>
      </c>
      <c r="E32" s="4" t="s">
        <v>143</v>
      </c>
      <c r="F32" s="4" t="s">
        <v>16</v>
      </c>
      <c r="G32" s="6" t="s">
        <v>17</v>
      </c>
      <c r="H32" s="4" t="s">
        <v>144</v>
      </c>
      <c r="I32" s="1">
        <v>44562</v>
      </c>
      <c r="J32" s="1">
        <v>44926</v>
      </c>
      <c r="K32" s="19" t="s">
        <v>155</v>
      </c>
      <c r="L32" s="2">
        <v>38784.480000000003</v>
      </c>
      <c r="M32" s="2"/>
      <c r="N32" s="5">
        <v>38784.480000000003</v>
      </c>
    </row>
    <row r="33" spans="1:14" ht="97.5" customHeight="1" x14ac:dyDescent="0.25">
      <c r="A33" s="33" t="s">
        <v>148</v>
      </c>
      <c r="B33" s="14" t="s">
        <v>145</v>
      </c>
      <c r="C33" s="3" t="s">
        <v>15</v>
      </c>
      <c r="D33" s="6" t="s">
        <v>149</v>
      </c>
      <c r="E33" s="4" t="s">
        <v>150</v>
      </c>
      <c r="F33" s="4" t="s">
        <v>16</v>
      </c>
      <c r="G33" s="6" t="s">
        <v>17</v>
      </c>
      <c r="H33" s="4" t="s">
        <v>144</v>
      </c>
      <c r="I33" s="1">
        <v>44683</v>
      </c>
      <c r="J33" s="1">
        <v>44742</v>
      </c>
      <c r="K33" s="19"/>
      <c r="L33" s="2">
        <v>885.23</v>
      </c>
      <c r="M33" s="2"/>
      <c r="N33" s="5">
        <v>885.23</v>
      </c>
    </row>
    <row r="34" spans="1:14" ht="75" customHeight="1" x14ac:dyDescent="0.25">
      <c r="A34" s="33" t="s">
        <v>169</v>
      </c>
      <c r="B34" s="14" t="s">
        <v>146</v>
      </c>
      <c r="C34" s="3" t="s">
        <v>15</v>
      </c>
      <c r="D34" s="6" t="s">
        <v>152</v>
      </c>
      <c r="E34" s="4" t="s">
        <v>153</v>
      </c>
      <c r="F34" s="4" t="s">
        <v>16</v>
      </c>
      <c r="G34" s="6" t="s">
        <v>17</v>
      </c>
      <c r="H34" s="4" t="s">
        <v>144</v>
      </c>
      <c r="I34" s="1">
        <v>44683</v>
      </c>
      <c r="J34" s="1">
        <v>44742</v>
      </c>
      <c r="K34" s="19"/>
      <c r="L34" s="2">
        <v>182.69</v>
      </c>
      <c r="M34" s="2"/>
      <c r="N34" s="5">
        <v>182.69</v>
      </c>
    </row>
    <row r="35" spans="1:14" ht="43.5" customHeight="1" x14ac:dyDescent="0.25">
      <c r="A35" s="34" t="s">
        <v>170</v>
      </c>
      <c r="B35" s="34" t="s">
        <v>171</v>
      </c>
      <c r="C35" s="15" t="s">
        <v>15</v>
      </c>
      <c r="D35" s="17" t="s">
        <v>172</v>
      </c>
      <c r="E35" s="16" t="s">
        <v>174</v>
      </c>
      <c r="F35" s="16" t="s">
        <v>173</v>
      </c>
      <c r="G35" s="17" t="s">
        <v>175</v>
      </c>
      <c r="H35" s="16" t="s">
        <v>176</v>
      </c>
      <c r="I35" s="21">
        <v>44562</v>
      </c>
      <c r="J35" s="21">
        <v>44926</v>
      </c>
      <c r="K35" s="23"/>
      <c r="L35" s="22">
        <v>70295.600000000006</v>
      </c>
      <c r="M35" s="22"/>
      <c r="N35" s="20">
        <v>70295.600000000006</v>
      </c>
    </row>
    <row r="36" spans="1:14" ht="76.5" customHeight="1" x14ac:dyDescent="0.25">
      <c r="A36" s="34" t="s">
        <v>179</v>
      </c>
      <c r="B36" s="34" t="s">
        <v>178</v>
      </c>
      <c r="C36" s="15" t="s">
        <v>15</v>
      </c>
      <c r="D36" s="17" t="s">
        <v>180</v>
      </c>
      <c r="E36" s="16" t="s">
        <v>181</v>
      </c>
      <c r="F36" s="16" t="s">
        <v>182</v>
      </c>
      <c r="G36" s="17" t="s">
        <v>183</v>
      </c>
      <c r="H36" s="16" t="s">
        <v>184</v>
      </c>
      <c r="I36" s="21">
        <v>44722</v>
      </c>
      <c r="J36" s="21">
        <v>44773</v>
      </c>
      <c r="K36" s="23"/>
      <c r="L36" s="22">
        <v>2639</v>
      </c>
      <c r="M36" s="22"/>
      <c r="N36" s="20">
        <v>2639</v>
      </c>
    </row>
    <row r="37" spans="1:14" ht="59.25" customHeight="1" x14ac:dyDescent="0.25">
      <c r="A37" s="34" t="s">
        <v>185</v>
      </c>
      <c r="B37" s="34" t="s">
        <v>186</v>
      </c>
      <c r="C37" s="15" t="s">
        <v>15</v>
      </c>
      <c r="D37" s="17" t="s">
        <v>187</v>
      </c>
      <c r="E37" s="16" t="s">
        <v>189</v>
      </c>
      <c r="F37" s="16" t="s">
        <v>104</v>
      </c>
      <c r="G37" s="17" t="s">
        <v>188</v>
      </c>
      <c r="H37" s="16" t="s">
        <v>105</v>
      </c>
      <c r="I37" s="21">
        <v>44728</v>
      </c>
      <c r="J37" s="21">
        <v>44926</v>
      </c>
      <c r="K37" s="23"/>
      <c r="L37" s="22">
        <v>15865</v>
      </c>
      <c r="M37" s="22"/>
      <c r="N37" s="20">
        <v>15865</v>
      </c>
    </row>
    <row r="38" spans="1:14" ht="88.5" customHeight="1" x14ac:dyDescent="0.25">
      <c r="A38" s="36" t="s">
        <v>190</v>
      </c>
      <c r="B38" s="36" t="s">
        <v>199</v>
      </c>
      <c r="C38" s="15" t="s">
        <v>15</v>
      </c>
      <c r="D38" s="17" t="s">
        <v>191</v>
      </c>
      <c r="E38" s="16" t="s">
        <v>192</v>
      </c>
      <c r="F38" s="16" t="s">
        <v>16</v>
      </c>
      <c r="G38" s="17" t="s">
        <v>17</v>
      </c>
      <c r="H38" s="16" t="s">
        <v>144</v>
      </c>
      <c r="I38" s="21">
        <v>44732</v>
      </c>
      <c r="J38" s="21">
        <v>44773</v>
      </c>
      <c r="K38" s="23"/>
      <c r="L38" s="22">
        <v>2180.02</v>
      </c>
      <c r="M38" s="22"/>
      <c r="N38" s="20">
        <v>2180.02</v>
      </c>
    </row>
    <row r="39" spans="1:14" ht="59.25" customHeight="1" x14ac:dyDescent="0.25">
      <c r="A39" s="36" t="s">
        <v>193</v>
      </c>
      <c r="B39" s="36" t="s">
        <v>194</v>
      </c>
      <c r="C39" s="15" t="s">
        <v>14</v>
      </c>
      <c r="D39" s="17" t="s">
        <v>28</v>
      </c>
      <c r="E39" s="16" t="s">
        <v>195</v>
      </c>
      <c r="F39" s="16" t="s">
        <v>196</v>
      </c>
      <c r="G39" s="17" t="s">
        <v>34</v>
      </c>
      <c r="H39" s="16" t="s">
        <v>35</v>
      </c>
      <c r="I39" s="21">
        <v>44733</v>
      </c>
      <c r="J39" s="21">
        <v>44926</v>
      </c>
      <c r="K39" s="23" t="s">
        <v>225</v>
      </c>
      <c r="L39" s="22">
        <v>426200</v>
      </c>
      <c r="M39" s="22">
        <v>102212</v>
      </c>
      <c r="N39" s="20">
        <f>L39-M39</f>
        <v>323988</v>
      </c>
    </row>
    <row r="40" spans="1:14" ht="59.25" customHeight="1" x14ac:dyDescent="0.25">
      <c r="A40" s="36" t="s">
        <v>197</v>
      </c>
      <c r="B40" s="36" t="s">
        <v>198</v>
      </c>
      <c r="C40" s="15" t="s">
        <v>15</v>
      </c>
      <c r="D40" s="17" t="s">
        <v>200</v>
      </c>
      <c r="E40" s="16" t="s">
        <v>201</v>
      </c>
      <c r="F40" s="16" t="s">
        <v>202</v>
      </c>
      <c r="G40" s="17" t="s">
        <v>203</v>
      </c>
      <c r="H40" s="16" t="s">
        <v>204</v>
      </c>
      <c r="I40" s="21">
        <v>44733</v>
      </c>
      <c r="J40" s="21">
        <v>44773</v>
      </c>
      <c r="K40" s="23"/>
      <c r="L40" s="22">
        <v>2827.39</v>
      </c>
      <c r="M40" s="22"/>
      <c r="N40" s="20">
        <v>2827.39</v>
      </c>
    </row>
    <row r="41" spans="1:14" ht="59.25" customHeight="1" x14ac:dyDescent="0.25">
      <c r="A41" s="36" t="s">
        <v>205</v>
      </c>
      <c r="B41" s="36" t="s">
        <v>206</v>
      </c>
      <c r="C41" s="15" t="s">
        <v>15</v>
      </c>
      <c r="D41" s="17" t="s">
        <v>210</v>
      </c>
      <c r="E41" s="16" t="s">
        <v>214</v>
      </c>
      <c r="F41" s="16" t="s">
        <v>211</v>
      </c>
      <c r="G41" s="17" t="s">
        <v>213</v>
      </c>
      <c r="H41" s="16" t="s">
        <v>212</v>
      </c>
      <c r="I41" s="21">
        <v>44733</v>
      </c>
      <c r="J41" s="21">
        <v>44926</v>
      </c>
      <c r="K41" s="23"/>
      <c r="L41" s="22">
        <v>2450</v>
      </c>
      <c r="M41" s="22"/>
      <c r="N41" s="20">
        <v>2450</v>
      </c>
    </row>
    <row r="42" spans="1:14" ht="59.25" customHeight="1" x14ac:dyDescent="0.25">
      <c r="A42" s="36" t="s">
        <v>207</v>
      </c>
      <c r="B42" s="36" t="s">
        <v>208</v>
      </c>
      <c r="C42" s="15" t="s">
        <v>15</v>
      </c>
      <c r="D42" s="17" t="s">
        <v>215</v>
      </c>
      <c r="E42" s="16" t="s">
        <v>216</v>
      </c>
      <c r="F42" s="16" t="s">
        <v>211</v>
      </c>
      <c r="G42" s="17" t="s">
        <v>213</v>
      </c>
      <c r="H42" s="16" t="s">
        <v>212</v>
      </c>
      <c r="I42" s="21">
        <v>44735</v>
      </c>
      <c r="J42" s="21">
        <v>44926</v>
      </c>
      <c r="K42" s="23" t="s">
        <v>226</v>
      </c>
      <c r="L42" s="22">
        <v>5400</v>
      </c>
      <c r="M42" s="22">
        <v>3820</v>
      </c>
      <c r="N42" s="20">
        <f>L42-M42</f>
        <v>1580</v>
      </c>
    </row>
    <row r="43" spans="1:14" ht="59.25" customHeight="1" x14ac:dyDescent="0.25">
      <c r="A43" s="36" t="s">
        <v>223</v>
      </c>
      <c r="B43" s="36" t="s">
        <v>217</v>
      </c>
      <c r="C43" s="15" t="s">
        <v>15</v>
      </c>
      <c r="D43" s="17" t="s">
        <v>219</v>
      </c>
      <c r="E43" s="16" t="s">
        <v>222</v>
      </c>
      <c r="F43" s="16" t="s">
        <v>218</v>
      </c>
      <c r="G43" s="17" t="s">
        <v>220</v>
      </c>
      <c r="H43" s="16" t="s">
        <v>221</v>
      </c>
      <c r="I43" s="21">
        <v>44739</v>
      </c>
      <c r="J43" s="21">
        <v>44926</v>
      </c>
      <c r="K43" s="23" t="s">
        <v>224</v>
      </c>
      <c r="L43" s="22">
        <v>49200</v>
      </c>
      <c r="M43" s="22"/>
      <c r="N43" s="20">
        <v>49200</v>
      </c>
    </row>
  </sheetData>
  <autoFilter ref="A2:N43" xr:uid="{00000000-0009-0000-0000-000000000000}"/>
  <mergeCells count="13">
    <mergeCell ref="L1:L2"/>
    <mergeCell ref="N1:N2"/>
    <mergeCell ref="M1:M2"/>
    <mergeCell ref="D1:D2"/>
    <mergeCell ref="K1:K2"/>
    <mergeCell ref="A1:A2"/>
    <mergeCell ref="G1:G2"/>
    <mergeCell ref="H1:H2"/>
    <mergeCell ref="I1:J1"/>
    <mergeCell ref="B1:B2"/>
    <mergeCell ref="E1:E2"/>
    <mergeCell ref="F1:F2"/>
    <mergeCell ref="C1:C2"/>
  </mergeCells>
  <conditionalFormatting sqref="I32:J43">
    <cfRule type="timePeriod" dxfId="3" priority="802" timePeriod="nextWeek">
      <formula>AND(ROUNDDOWN(I32,0)-TODAY()&gt;(7-WEEKDAY(TODAY())),ROUNDDOWN(I32,0)-TODAY()&lt;(15-WEEKDAY(TODAY())))</formula>
    </cfRule>
    <cfRule type="timePeriod" dxfId="2" priority="803" timePeriod="nextWeek">
      <formula>AND(ROUNDDOWN(I32,0)-TODAY()&gt;(7-WEEKDAY(TODAY())),ROUNDDOWN(I32,0)-TODAY()&lt;(15-WEEKDAY(TODAY())))</formula>
    </cfRule>
  </conditionalFormatting>
  <conditionalFormatting sqref="J44:J1048576 J1:J2 I32:J43">
    <cfRule type="timePeriod" dxfId="1" priority="798" timePeriod="nextWeek">
      <formula>AND(ROUNDDOWN(I1,0)-TODAY()&gt;(7-WEEKDAY(TODAY())),ROUNDDOWN(I1,0)-TODAY()&lt;(15-WEEKDAY(TODAY())))</formula>
    </cfRule>
    <cfRule type="timePeriod" dxfId="0" priority="799" timePeriod="nextWeek">
      <formula>AND(ROUNDDOWN(I1,0)-TODAY()&gt;(7-WEEKDAY(TODAY())),ROUNDDOWN(I1,0)-TODAY()&lt;(15-WEEKDAY(TODAY())))</formula>
    </cfRule>
  </conditionalFormatting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C30"/>
  <sheetViews>
    <sheetView workbookViewId="0">
      <selection activeCell="B21" sqref="B21"/>
    </sheetView>
  </sheetViews>
  <sheetFormatPr defaultRowHeight="15" x14ac:dyDescent="0.25"/>
  <sheetData>
    <row r="1" spans="1:2" x14ac:dyDescent="0.25">
      <c r="A1">
        <f>41*0.721*200</f>
        <v>5912.2</v>
      </c>
      <c r="B1">
        <f>29*200</f>
        <v>5800</v>
      </c>
    </row>
    <row r="2" spans="1:2" x14ac:dyDescent="0.25">
      <c r="A2">
        <f>8*0.721*1000</f>
        <v>5768</v>
      </c>
      <c r="B2">
        <f>6*100</f>
        <v>600</v>
      </c>
    </row>
    <row r="3" spans="1:2" x14ac:dyDescent="0.25">
      <c r="A3">
        <f>17*0.721*100</f>
        <v>1225.7</v>
      </c>
      <c r="B3">
        <f>12*100</f>
        <v>1200</v>
      </c>
    </row>
    <row r="4" spans="1:2" x14ac:dyDescent="0.25">
      <c r="A4">
        <f>17*0.721*200</f>
        <v>2451.4</v>
      </c>
      <c r="B4">
        <f>12*200</f>
        <v>2400</v>
      </c>
    </row>
    <row r="5" spans="1:2" x14ac:dyDescent="0.25">
      <c r="A5">
        <f>8*0.721*400</f>
        <v>2307.1999999999998</v>
      </c>
      <c r="B5">
        <f>6*400</f>
        <v>2400</v>
      </c>
    </row>
    <row r="6" spans="1:2" x14ac:dyDescent="0.25">
      <c r="A6">
        <f>4*0.721*600</f>
        <v>1730.3999999999999</v>
      </c>
      <c r="B6">
        <f>3*600</f>
        <v>1800</v>
      </c>
    </row>
    <row r="7" spans="1:2" x14ac:dyDescent="0.25">
      <c r="A7">
        <f>17*0.721*700</f>
        <v>8579.9</v>
      </c>
      <c r="B7">
        <f>12*700</f>
        <v>8400</v>
      </c>
    </row>
    <row r="8" spans="1:2" x14ac:dyDescent="0.25">
      <c r="A8">
        <f>8*0.721*5000</f>
        <v>28840</v>
      </c>
      <c r="B8">
        <f>6*5000</f>
        <v>30000</v>
      </c>
    </row>
    <row r="9" spans="1:2" x14ac:dyDescent="0.25">
      <c r="A9">
        <f>40*0.721*350</f>
        <v>10094</v>
      </c>
      <c r="B9">
        <f>29*350</f>
        <v>10150</v>
      </c>
    </row>
    <row r="10" spans="1:2" x14ac:dyDescent="0.25">
      <c r="A10">
        <f>25*0.721*1000</f>
        <v>18025</v>
      </c>
      <c r="B10">
        <f>18*1000</f>
        <v>18000</v>
      </c>
    </row>
    <row r="11" spans="1:2" x14ac:dyDescent="0.25">
      <c r="A11">
        <f>8*0.721*2000</f>
        <v>11536</v>
      </c>
      <c r="B11">
        <f>6*2000</f>
        <v>12000</v>
      </c>
    </row>
    <row r="12" spans="1:2" x14ac:dyDescent="0.25">
      <c r="A12">
        <f>8*0.721*6000</f>
        <v>34608</v>
      </c>
      <c r="B12">
        <f>6*6000</f>
        <v>36000</v>
      </c>
    </row>
    <row r="13" spans="1:2" x14ac:dyDescent="0.25">
      <c r="A13">
        <f>25*0.721*500</f>
        <v>9012.5</v>
      </c>
      <c r="B13">
        <f>18*500</f>
        <v>9000</v>
      </c>
    </row>
    <row r="14" spans="1:2" x14ac:dyDescent="0.25">
      <c r="A14">
        <f>17*0.721*1200</f>
        <v>14708.4</v>
      </c>
      <c r="B14">
        <f>12*1200</f>
        <v>14400</v>
      </c>
    </row>
    <row r="15" spans="1:2" x14ac:dyDescent="0.25">
      <c r="A15">
        <f>12*0.721*2500</f>
        <v>21629.999999999996</v>
      </c>
      <c r="B15">
        <f>7*2500</f>
        <v>17500</v>
      </c>
    </row>
    <row r="16" spans="1:2" x14ac:dyDescent="0.25">
      <c r="A16">
        <f>8*0.721*1000</f>
        <v>5768</v>
      </c>
      <c r="B16">
        <f>6*1000</f>
        <v>6000</v>
      </c>
    </row>
    <row r="17" spans="1:3" x14ac:dyDescent="0.25">
      <c r="A17">
        <f>17*0.721*2500</f>
        <v>30642.5</v>
      </c>
      <c r="B17">
        <f>12*2500</f>
        <v>30000</v>
      </c>
    </row>
    <row r="18" spans="1:3" x14ac:dyDescent="0.25">
      <c r="A18">
        <f>8*0.721*3000</f>
        <v>17304</v>
      </c>
      <c r="B18">
        <f>6*3000</f>
        <v>18000</v>
      </c>
    </row>
    <row r="19" spans="1:3" x14ac:dyDescent="0.25">
      <c r="A19">
        <f>10000</f>
        <v>10000</v>
      </c>
      <c r="B19">
        <f>2*5000</f>
        <v>10000</v>
      </c>
    </row>
    <row r="20" spans="1:3" x14ac:dyDescent="0.25">
      <c r="B20">
        <f>2695*50</f>
        <v>134750</v>
      </c>
    </row>
    <row r="21" spans="1:3" x14ac:dyDescent="0.25">
      <c r="A21">
        <f>85*0.721*100</f>
        <v>6128.5</v>
      </c>
      <c r="B21">
        <f>61*100</f>
        <v>6100</v>
      </c>
    </row>
    <row r="22" spans="1:3" x14ac:dyDescent="0.25">
      <c r="A22">
        <f>9*0.721*400</f>
        <v>2595.6</v>
      </c>
      <c r="B22">
        <f>6*400</f>
        <v>2400</v>
      </c>
    </row>
    <row r="23" spans="1:3" x14ac:dyDescent="0.25">
      <c r="A23">
        <f>25*0.721*400</f>
        <v>7209.9999999999991</v>
      </c>
      <c r="B23">
        <f>18*400</f>
        <v>7200</v>
      </c>
    </row>
    <row r="24" spans="1:3" x14ac:dyDescent="0.25">
      <c r="A24">
        <f>55*0.721*400</f>
        <v>15862</v>
      </c>
      <c r="B24">
        <f>40*400</f>
        <v>16000</v>
      </c>
    </row>
    <row r="25" spans="1:3" x14ac:dyDescent="0.25">
      <c r="A25">
        <f>9*0.721*200</f>
        <v>1297.8</v>
      </c>
      <c r="B25">
        <f>6*200</f>
        <v>1200</v>
      </c>
    </row>
    <row r="26" spans="1:3" x14ac:dyDescent="0.25">
      <c r="A26">
        <f>80*0.721*250</f>
        <v>14420</v>
      </c>
      <c r="B26">
        <f>58*250</f>
        <v>14500</v>
      </c>
    </row>
    <row r="27" spans="1:3" x14ac:dyDescent="0.25">
      <c r="A27">
        <f>4*0.721*100</f>
        <v>288.39999999999998</v>
      </c>
      <c r="B27">
        <f>3*1000</f>
        <v>3000</v>
      </c>
    </row>
    <row r="28" spans="1:3" x14ac:dyDescent="0.25">
      <c r="A28">
        <f>5*0.721*100</f>
        <v>360.5</v>
      </c>
      <c r="B28">
        <f>4*100</f>
        <v>400</v>
      </c>
    </row>
    <row r="29" spans="1:3" x14ac:dyDescent="0.25">
      <c r="A29">
        <f>20*0.721*500</f>
        <v>7210</v>
      </c>
      <c r="B29">
        <f>14*500</f>
        <v>7000</v>
      </c>
    </row>
    <row r="30" spans="1:3" x14ac:dyDescent="0.25">
      <c r="B30">
        <f>SUM(B1:B29)</f>
        <v>426200</v>
      </c>
      <c r="C30">
        <f>426200-B30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2022-11-08T14:01:51Z</dcterms:modified>
</cp:coreProperties>
</file>