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codeName="ЭтаКнига" defaultThemeVersion="124226"/>
  <xr:revisionPtr revIDLastSave="0" documentId="13_ncr:1_{22E9FCE5-D81A-4C88-9259-25C09FAEB2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Лист1!$A$2:$O$48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1" l="1"/>
  <c r="N4" i="1" s="1"/>
  <c r="N14" i="1" l="1"/>
  <c r="B20" i="2" l="1"/>
  <c r="B29" i="2"/>
  <c r="B28" i="2"/>
  <c r="B27" i="2"/>
  <c r="B26" i="2"/>
  <c r="B25" i="2"/>
  <c r="B24" i="2"/>
  <c r="B23" i="2"/>
  <c r="B22" i="2"/>
  <c r="B21" i="2"/>
  <c r="A19" i="2"/>
  <c r="B19" i="2"/>
  <c r="B15" i="2"/>
  <c r="B18" i="2"/>
  <c r="B17" i="2"/>
  <c r="B16" i="2"/>
  <c r="B14" i="2"/>
  <c r="B13" i="2"/>
  <c r="B12" i="2"/>
  <c r="B11" i="2"/>
  <c r="B10" i="2"/>
  <c r="B9" i="2"/>
  <c r="B7" i="2"/>
  <c r="B8" i="2"/>
  <c r="B6" i="2"/>
  <c r="B5" i="2"/>
  <c r="B4" i="2"/>
  <c r="B3" i="2"/>
  <c r="B2" i="2"/>
  <c r="B1" i="2"/>
  <c r="A29" i="2"/>
  <c r="A28" i="2"/>
  <c r="A27" i="2"/>
  <c r="A26" i="2"/>
  <c r="A25" i="2"/>
  <c r="A24" i="2"/>
  <c r="A23" i="2"/>
  <c r="A22" i="2"/>
  <c r="A21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  <c r="B30" i="2" l="1"/>
  <c r="C30" i="2" s="1"/>
</calcChain>
</file>

<file path=xl/sharedStrings.xml><?xml version="1.0" encoding="utf-8"?>
<sst xmlns="http://schemas.openxmlformats.org/spreadsheetml/2006/main" count="393" uniqueCount="279">
  <si>
    <t>Реєстраційний номер договору</t>
  </si>
  <si>
    <t>сторона з якою складається договір</t>
  </si>
  <si>
    <t xml:space="preserve">термін дії договору </t>
  </si>
  <si>
    <t>по</t>
  </si>
  <si>
    <t>сума договору</t>
  </si>
  <si>
    <t>відповідальний відділ</t>
  </si>
  <si>
    <t>загальна сума</t>
  </si>
  <si>
    <t>з</t>
  </si>
  <si>
    <t>Код CPV</t>
  </si>
  <si>
    <t>ЄДРПОУ</t>
  </si>
  <si>
    <t>ПІП керівника</t>
  </si>
  <si>
    <t>предмет договору</t>
  </si>
  <si>
    <t>Процедура закупівлі</t>
  </si>
  <si>
    <t>додаткова угода №, дата</t>
  </si>
  <si>
    <t xml:space="preserve">сума дод. угоди </t>
  </si>
  <si>
    <t>переговорна процедура</t>
  </si>
  <si>
    <t>22432779</t>
  </si>
  <si>
    <t>ДПЕМ ПрАТ "Атомсервіс"</t>
  </si>
  <si>
    <t>без використання електронної системи</t>
  </si>
  <si>
    <t>42484352</t>
  </si>
  <si>
    <t>03120000-8</t>
  </si>
  <si>
    <t>2078113906</t>
  </si>
  <si>
    <t>КП ЖЕО</t>
  </si>
  <si>
    <t>31537375</t>
  </si>
  <si>
    <t>2267010524</t>
  </si>
  <si>
    <t>66510000-8</t>
  </si>
  <si>
    <t>30115243</t>
  </si>
  <si>
    <t>72310000-1</t>
  </si>
  <si>
    <t>09130000-9</t>
  </si>
  <si>
    <t>38115832</t>
  </si>
  <si>
    <t>2595506740</t>
  </si>
  <si>
    <t>№ з/п/ дата реестрації</t>
  </si>
  <si>
    <t>34350000-5</t>
  </si>
  <si>
    <t>ККТП "Кобзар" ЮМР</t>
  </si>
  <si>
    <t xml:space="preserve">спрощена </t>
  </si>
  <si>
    <t>ФОП Коржовська О.А.</t>
  </si>
  <si>
    <t>3182020865</t>
  </si>
  <si>
    <t>ФОП Ігнатенко Оксана Іванівна</t>
  </si>
  <si>
    <t>3185615545</t>
  </si>
  <si>
    <t>51110000-6</t>
  </si>
  <si>
    <t>Купівлі- продажу нафтопродуктів</t>
  </si>
  <si>
    <t>ТОВ " Гермес- 2018"</t>
  </si>
  <si>
    <t>50110000-9</t>
  </si>
  <si>
    <t>101/04.07.22</t>
  </si>
  <si>
    <t>20910974_22/1/91</t>
  </si>
  <si>
    <t>На інформаційно-консультативні послуги у сфері інформатизації</t>
  </si>
  <si>
    <t>ФОП Гайдукова Т.Л.</t>
  </si>
  <si>
    <t>Гайдукова Тетяна Леонідівна</t>
  </si>
  <si>
    <t>102/11.07.22</t>
  </si>
  <si>
    <t>92</t>
  </si>
  <si>
    <t>Купівлі- продажу пального</t>
  </si>
  <si>
    <t>ТОВ " Геліос-2012ЮК"</t>
  </si>
  <si>
    <t>Чебанова Тетяна Ігорівна</t>
  </si>
  <si>
    <t>103/14.07.22</t>
  </si>
  <si>
    <t>93</t>
  </si>
  <si>
    <t>38550000-5</t>
  </si>
  <si>
    <t>купівлі - продажу  електричних лічильників</t>
  </si>
  <si>
    <t>Коржовська Ольга Анатоліївна</t>
  </si>
  <si>
    <t>105/21.07.22</t>
  </si>
  <si>
    <t>обов'язкове особисте страхування від нещасних випадків на транспорті (Пинтій О.В.)</t>
  </si>
  <si>
    <t>ПАТ СТРАХОВА ГРУПА ТАС</t>
  </si>
  <si>
    <t>Шмідько Тетяна Дмитрівна</t>
  </si>
  <si>
    <t>296768/95</t>
  </si>
  <si>
    <t xml:space="preserve">296767/96 </t>
  </si>
  <si>
    <t>обов'язкове особисте страхування від нещасних випадків на транспорті (Іванов О.Г.)</t>
  </si>
  <si>
    <t>106/21.07.22</t>
  </si>
  <si>
    <t>про укладення полісів обов'язкового страхування цивільно-правової відповідальності власників наземних транспортних засобів (ВЕ0416АС)</t>
  </si>
  <si>
    <t>про укладення полісів обов'язкового страхування цивільно-правової відповідальності власників наземних транспортних засобів (ВЕ0415АС)</t>
  </si>
  <si>
    <t>Шмідько Тетяна Дмитрівн</t>
  </si>
  <si>
    <t>107/21.07.22</t>
  </si>
  <si>
    <t>108/21.07.22</t>
  </si>
  <si>
    <t>3029757/98</t>
  </si>
  <si>
    <t>FO-01371675/97</t>
  </si>
  <si>
    <t>99</t>
  </si>
  <si>
    <t>На заміну 1-но фазних електролічильників за адресами: м. Южноукраїнськ, бульвар Цвіточний,9, будівля Б-2Н,№6-8,вулиця Дружби Народів,52-54, прим. №5</t>
  </si>
  <si>
    <t>Дробот Олександр Васильович</t>
  </si>
  <si>
    <t>110/01.08.22</t>
  </si>
  <si>
    <t>109/01.08.22</t>
  </si>
  <si>
    <t>100</t>
  </si>
  <si>
    <t>35820000-8</t>
  </si>
  <si>
    <t>Купівлі -продажу (Прапор України)</t>
  </si>
  <si>
    <t>2881809929</t>
  </si>
  <si>
    <t>Зубовська Наталя Вячеславівна</t>
  </si>
  <si>
    <t>Зубовська Наталя Вячеславівн</t>
  </si>
  <si>
    <t>ФОП Зубовська Н.В.</t>
  </si>
  <si>
    <t>Купівлі -продажу (Прапор міста)</t>
  </si>
  <si>
    <t>101</t>
  </si>
  <si>
    <t>111/01.08.22</t>
  </si>
  <si>
    <t>112/01.08.22</t>
  </si>
  <si>
    <t>79310000-0</t>
  </si>
  <si>
    <t>На проведення незалежної оцінки орендованого майна</t>
  </si>
  <si>
    <t>ФОП Полупаненко М.М.</t>
  </si>
  <si>
    <t>2716900015</t>
  </si>
  <si>
    <t>Полупаненко Максим Миколайович</t>
  </si>
  <si>
    <t>11/07/28/102</t>
  </si>
  <si>
    <t xml:space="preserve"> </t>
  </si>
  <si>
    <t>091300000-9</t>
  </si>
  <si>
    <t>113/04.08.22</t>
  </si>
  <si>
    <t>22820000-4 22810000-1</t>
  </si>
  <si>
    <t>купівлі- продажу журналів та бланків</t>
  </si>
  <si>
    <t>103</t>
  </si>
  <si>
    <t>ФОП Єгоров В.В.</t>
  </si>
  <si>
    <t>Єгоров Віктор Володимирович</t>
  </si>
  <si>
    <t>2888513136</t>
  </si>
  <si>
    <t>106</t>
  </si>
  <si>
    <t>116/09.08.22</t>
  </si>
  <si>
    <t>"Геліос-2012 ЮК"</t>
  </si>
  <si>
    <t>купівлі- продажу нафтопродуктів</t>
  </si>
  <si>
    <t xml:space="preserve">09130000-9 </t>
  </si>
  <si>
    <t>31440000-2</t>
  </si>
  <si>
    <t>19296144</t>
  </si>
  <si>
    <t>Бережная Ірина</t>
  </si>
  <si>
    <t>119/11.08.22</t>
  </si>
  <si>
    <t>45420000-7</t>
  </si>
  <si>
    <t>Про надання послуг (столярні та теслярні послуги)</t>
  </si>
  <si>
    <t>Миронюк Олександр</t>
  </si>
  <si>
    <t>74/109</t>
  </si>
  <si>
    <t>75/110</t>
  </si>
  <si>
    <t>45330000-9</t>
  </si>
  <si>
    <t xml:space="preserve">Про надання послуг( сантехнічні послуги) </t>
  </si>
  <si>
    <t>120/11.08.22</t>
  </si>
  <si>
    <t>78/111</t>
  </si>
  <si>
    <t>121/11.08.22</t>
  </si>
  <si>
    <t>Про надання послуг (послуги електрика)</t>
  </si>
  <si>
    <t>50710000-5</t>
  </si>
  <si>
    <t>ДУ№ 1 від 12.07.22 зменьшення суми договору (213640,00)ДУ№2 від 12.08.22( зменьшення суми договору)</t>
  </si>
  <si>
    <t>113</t>
  </si>
  <si>
    <t>123/12.08.22</t>
  </si>
  <si>
    <t>22460000-2</t>
  </si>
  <si>
    <t>Купівлі- продажу  друкованої продукціїї</t>
  </si>
  <si>
    <t>2288907754</t>
  </si>
  <si>
    <t>Ізмайлов Андріян Олександрович</t>
  </si>
  <si>
    <t>ФОП Ізмайлов Андріян Олександрович</t>
  </si>
  <si>
    <t>124/12.08.22</t>
  </si>
  <si>
    <t>50730000-1</t>
  </si>
  <si>
    <t>про надання послуг з ремонту та технічного обслуговування кондиціонерів</t>
  </si>
  <si>
    <t>ФОП Губа Олександр Володимирович</t>
  </si>
  <si>
    <t>Губа Олександр Володимирович</t>
  </si>
  <si>
    <t>119/114</t>
  </si>
  <si>
    <t>115</t>
  </si>
  <si>
    <t>125/17.08.22</t>
  </si>
  <si>
    <t>спрощена закупівля</t>
  </si>
  <si>
    <t>ФОП Махницька Олена Олександрівна</t>
  </si>
  <si>
    <t>2552602548</t>
  </si>
  <si>
    <t>Махницька Олена Олександрівна</t>
  </si>
  <si>
    <t>126/18.08.22</t>
  </si>
  <si>
    <t>116</t>
  </si>
  <si>
    <t>Купівлі - продажу живих квітів</t>
  </si>
  <si>
    <t>ФОП Каліна Надія Сергіївна</t>
  </si>
  <si>
    <t>Каліна Надія Сергіївна</t>
  </si>
  <si>
    <t>117</t>
  </si>
  <si>
    <t>127/19.08.22</t>
  </si>
  <si>
    <t>Купівлі- продажу автомобільних шин( Лот №2)</t>
  </si>
  <si>
    <t>Купівлі- продажу автомобільних шин( Лот № 1,3)</t>
  </si>
  <si>
    <t>ТОВ " Торгово-Промислова Компанія Омега- Автопоставка"</t>
  </si>
  <si>
    <t>33010822</t>
  </si>
  <si>
    <t>Дубовик Вікторія</t>
  </si>
  <si>
    <t>130/25.08.22</t>
  </si>
  <si>
    <t>120</t>
  </si>
  <si>
    <t>30230000-0 31220000-4</t>
  </si>
  <si>
    <t>Купівлі- продажу запасних частин ,комплектуючих та аксесуарів для компютерної та організаційної техніки</t>
  </si>
  <si>
    <t>Ігнатенко Оксана Іванівна</t>
  </si>
  <si>
    <t>38,620,00</t>
  </si>
  <si>
    <t>131/26.08.22</t>
  </si>
  <si>
    <t>121</t>
  </si>
  <si>
    <t>Купівлі- продажу запасних частин для автомобілів</t>
  </si>
  <si>
    <t>Пірог Євген Володимирович</t>
  </si>
  <si>
    <t>ФОП Пірог Є.В.</t>
  </si>
  <si>
    <t>3229313013</t>
  </si>
  <si>
    <t>вантажопасажирський позашляховик</t>
  </si>
  <si>
    <t>125</t>
  </si>
  <si>
    <t>34110000-1</t>
  </si>
  <si>
    <t>ТОВ" Укравест"</t>
  </si>
  <si>
    <t xml:space="preserve">спрощена закупівля </t>
  </si>
  <si>
    <t xml:space="preserve"> Чорний Олександр</t>
  </si>
  <si>
    <r>
      <rPr>
        <sz val="12"/>
        <color theme="1"/>
        <rFont val="Times New Roman"/>
        <family val="1"/>
        <charset val="204"/>
      </rPr>
      <t>ДУ №1 від 31.08.2022( зміна реквізитів</t>
    </r>
    <r>
      <rPr>
        <sz val="7.5"/>
        <color theme="1"/>
        <rFont val="Times New Roman"/>
        <family val="1"/>
        <charset val="204"/>
      </rPr>
      <t>)</t>
    </r>
  </si>
  <si>
    <t>127</t>
  </si>
  <si>
    <t>05.09.2022</t>
  </si>
  <si>
    <t>42910000-8 09210000-4</t>
  </si>
  <si>
    <t>Купівлі продажу олив мастильних та фільтрів для автомобілів</t>
  </si>
  <si>
    <t>ДУ №1 від 25.08.22 (зміна реквізитів)</t>
  </si>
  <si>
    <t>31090597</t>
  </si>
  <si>
    <t>08.09.2022</t>
  </si>
  <si>
    <t>71240000-2</t>
  </si>
  <si>
    <t>Про надання послуг з розробки проекту землеустрою</t>
  </si>
  <si>
    <t>ТОВ "Фірма Вертикаль"</t>
  </si>
  <si>
    <t>Антон Чепусов</t>
  </si>
  <si>
    <t>322669</t>
  </si>
  <si>
    <t>8/2022/128</t>
  </si>
  <si>
    <t>129</t>
  </si>
  <si>
    <t>38650000-6</t>
  </si>
  <si>
    <t>Купівлі- продажу об'єктиву для фотоапарату</t>
  </si>
  <si>
    <t>ФОП Гапук Валентина Анатоліївна</t>
  </si>
  <si>
    <t>Валентина Анатоліївна Гапук</t>
  </si>
  <si>
    <t>130</t>
  </si>
  <si>
    <t>Купівлі -продажу акумулятора</t>
  </si>
  <si>
    <t>ФОП Пірог Володимир Володимирович</t>
  </si>
  <si>
    <t>2405515914</t>
  </si>
  <si>
    <t>Пірог Володимир Володимирович</t>
  </si>
  <si>
    <t xml:space="preserve">34320000-6 34330000-9 </t>
  </si>
  <si>
    <t>135/26.08.22 (Є дата)</t>
  </si>
  <si>
    <t>131</t>
  </si>
  <si>
    <t>33760000-5</t>
  </si>
  <si>
    <t>Купівлі- продажу туалетного паперу</t>
  </si>
  <si>
    <t>12.09.2022</t>
  </si>
  <si>
    <t>132</t>
  </si>
  <si>
    <t>71410000-5</t>
  </si>
  <si>
    <t>Про надання послуги на здійснення стратегічної екологічної оцінки проекту документа державного планування - містобудівної документації с. Панкратове</t>
  </si>
  <si>
    <t>ТОВ "Проектне бюро"Базиз"</t>
  </si>
  <si>
    <t>41457747</t>
  </si>
  <si>
    <t>Суворий Григорій Вадимович</t>
  </si>
  <si>
    <t>45000.00</t>
  </si>
  <si>
    <t>50720000-8</t>
  </si>
  <si>
    <t xml:space="preserve">Про надання послуг(зовнішній огляд і обстеження інженерних мереж системи опалення </t>
  </si>
  <si>
    <t>14.09.2022</t>
  </si>
  <si>
    <t>87/133</t>
  </si>
  <si>
    <t>20.09.2022</t>
  </si>
  <si>
    <t>134</t>
  </si>
  <si>
    <t>спрощена</t>
  </si>
  <si>
    <t>Євген Сігляк</t>
  </si>
  <si>
    <t>Купівлі продажу акумулятора</t>
  </si>
  <si>
    <t>135</t>
  </si>
  <si>
    <t>Володимир Пірог</t>
  </si>
  <si>
    <t>499/136</t>
  </si>
  <si>
    <t>Про сплату членських внесків</t>
  </si>
  <si>
    <t>Всеукраїнська асоціація органів місцевого самоврядування "Асоціація міст України"</t>
  </si>
  <si>
    <t>20069689</t>
  </si>
  <si>
    <t>Олександр Слобожан</t>
  </si>
  <si>
    <t>34/137</t>
  </si>
  <si>
    <t>Угода по сплаті членських внесків</t>
  </si>
  <si>
    <t>Миколаївське регіональне відділення Всеукраїнської асоціації органів місцевого самоврядування "Асоціація міст України"</t>
  </si>
  <si>
    <t>Олександр Мосін</t>
  </si>
  <si>
    <t>26029573</t>
  </si>
  <si>
    <t>21.09.2022</t>
  </si>
  <si>
    <t>Купівлі- продажу масок медичних</t>
  </si>
  <si>
    <t>ПП "Тендермед"</t>
  </si>
  <si>
    <t>Олександр Дюдя</t>
  </si>
  <si>
    <t>44353997</t>
  </si>
  <si>
    <t>33140000-3</t>
  </si>
  <si>
    <t>138</t>
  </si>
  <si>
    <t>98130000-3</t>
  </si>
  <si>
    <t>139</t>
  </si>
  <si>
    <t>22.09.2022</t>
  </si>
  <si>
    <t>Про надання шиноремонтних послуг, у тому числі шиномонтажні послугим та послуги з балансування коліс службових легкових автомобілів</t>
  </si>
  <si>
    <t>ФОП Юрченко Альона Федорівна</t>
  </si>
  <si>
    <t>2607423708</t>
  </si>
  <si>
    <t>Альона Юрченко</t>
  </si>
  <si>
    <t>23.09.2022</t>
  </si>
  <si>
    <t>140</t>
  </si>
  <si>
    <t>39220000-0 44410000-7 19640000-4</t>
  </si>
  <si>
    <t>Купівлі- продажу господарчих товарів</t>
  </si>
  <si>
    <t>141</t>
  </si>
  <si>
    <t>39220000-0</t>
  </si>
  <si>
    <t>Купівлі- продажу кухонного приладдя</t>
  </si>
  <si>
    <t>Ірина Бережна</t>
  </si>
  <si>
    <t>142</t>
  </si>
  <si>
    <t>30190000-7 39560000-5  44420000-0 22110000-4</t>
  </si>
  <si>
    <t>Купівлі -продажу товару ( бейдж,шнурок для бейджу,мапа, таблички)</t>
  </si>
  <si>
    <t>296769/143</t>
  </si>
  <si>
    <t>Добровільне страхування  майна</t>
  </si>
  <si>
    <t>FO-01410489/144</t>
  </si>
  <si>
    <t>28.09.2022</t>
  </si>
  <si>
    <t>22320000-9</t>
  </si>
  <si>
    <t>Купівлі- продажу вітальних листівок</t>
  </si>
  <si>
    <t>145</t>
  </si>
  <si>
    <t>146</t>
  </si>
  <si>
    <t>147</t>
  </si>
  <si>
    <t>Купівлі-продажу Лікарських засобів</t>
  </si>
  <si>
    <t>ДП ПАТ ДАК "Ліки України" Аптека №6</t>
  </si>
  <si>
    <t>33600000-6</t>
  </si>
  <si>
    <t>20911011</t>
  </si>
  <si>
    <t>Олена Воловик</t>
  </si>
  <si>
    <t>148</t>
  </si>
  <si>
    <t>Надання послуг з обстеження електроустановок і електрообладнання в будівлі виконавчого комітету Южноукраїнської міської ради</t>
  </si>
  <si>
    <t>Купівлі продажу  товару (чайний сервіз)</t>
  </si>
  <si>
    <t>ДУ№1 від 13.10.2022 зміна реквізитів</t>
  </si>
  <si>
    <t>ДУ№1 від 17.10.22 (зменьшення суми договору на 24500)</t>
  </si>
  <si>
    <t xml:space="preserve">ДУ№1 від 12.09.2022 </t>
  </si>
  <si>
    <t xml:space="preserve">Обовязкове особисте страхування від нещасних випадків на транспорті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</si>
</sst>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4" fillId="2" borderId="2" xfId="0" quotePrefix="1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88"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P48"/>
  <sheetViews>
    <sheetView tabSelected="1" view="pageBreakPreview" zoomScaleSheetLayoutView="100" workbookViewId="0">
      <pane ySplit="2" topLeftCell="A3" activePane="bottomLeft" state="frozen"/>
      <selection pane="bottomLeft" activeCell="I47" sqref="I47"/>
    </sheetView>
  </sheetViews>
  <sheetFormatPr defaultRowHeight="15" x14ac:dyDescent="0.25"/>
  <cols>
    <col min="1" max="1" width="12.42578125" style="5" customWidth="1"/>
    <col min="2" max="2" width="13.42578125" style="7" customWidth="1"/>
    <col min="3" max="3" width="11.85546875" style="7" customWidth="1"/>
    <col min="4" max="4" width="11.5703125" style="7" customWidth="1"/>
    <col min="5" max="5" width="30.7109375" style="3" customWidth="1"/>
    <col min="6" max="6" width="24.5703125" style="3" customWidth="1"/>
    <col min="7" max="7" width="11.140625" style="7" customWidth="1"/>
    <col min="8" max="8" width="23.85546875" style="3" customWidth="1"/>
    <col min="9" max="9" width="10.28515625" style="6" bestFit="1" customWidth="1"/>
    <col min="10" max="10" width="10.28515625" style="3" bestFit="1" customWidth="1"/>
    <col min="11" max="11" width="20.28515625" style="8" customWidth="1"/>
    <col min="12" max="12" width="15" style="4" bestFit="1" customWidth="1"/>
    <col min="13" max="13" width="14.5703125" style="4" customWidth="1"/>
    <col min="14" max="14" width="16.5703125" style="4" customWidth="1"/>
    <col min="15" max="15" width="12.140625" style="2" customWidth="1"/>
    <col min="16" max="16384" width="9.140625" style="3"/>
  </cols>
  <sheetData>
    <row r="1" spans="1:16" s="2" customFormat="1" ht="15.75" customHeight="1" x14ac:dyDescent="0.25">
      <c r="A1" s="20" t="s">
        <v>31</v>
      </c>
      <c r="B1" s="22" t="s">
        <v>0</v>
      </c>
      <c r="C1" s="22" t="s">
        <v>12</v>
      </c>
      <c r="D1" s="31" t="s">
        <v>8</v>
      </c>
      <c r="E1" s="24" t="s">
        <v>11</v>
      </c>
      <c r="F1" s="24" t="s">
        <v>1</v>
      </c>
      <c r="G1" s="22" t="s">
        <v>9</v>
      </c>
      <c r="H1" s="24" t="s">
        <v>10</v>
      </c>
      <c r="I1" s="24" t="s">
        <v>2</v>
      </c>
      <c r="J1" s="24"/>
      <c r="K1" s="33" t="s">
        <v>13</v>
      </c>
      <c r="L1" s="28" t="s">
        <v>4</v>
      </c>
      <c r="M1" s="28" t="s">
        <v>14</v>
      </c>
      <c r="N1" s="28" t="s">
        <v>6</v>
      </c>
      <c r="O1" s="26" t="s">
        <v>5</v>
      </c>
    </row>
    <row r="2" spans="1:16" s="2" customFormat="1" ht="33" customHeight="1" x14ac:dyDescent="0.25">
      <c r="A2" s="21"/>
      <c r="B2" s="23"/>
      <c r="C2" s="23"/>
      <c r="D2" s="32"/>
      <c r="E2" s="25"/>
      <c r="F2" s="25"/>
      <c r="G2" s="23"/>
      <c r="H2" s="25"/>
      <c r="I2" s="16" t="s">
        <v>7</v>
      </c>
      <c r="J2" s="17" t="s">
        <v>3</v>
      </c>
      <c r="K2" s="34"/>
      <c r="L2" s="29"/>
      <c r="M2" s="30"/>
      <c r="N2" s="30"/>
      <c r="O2" s="27"/>
    </row>
    <row r="3" spans="1:16" ht="83.25" customHeight="1" x14ac:dyDescent="0.25">
      <c r="A3" s="19" t="s">
        <v>43</v>
      </c>
      <c r="B3" s="19" t="s">
        <v>44</v>
      </c>
      <c r="C3" s="9" t="s">
        <v>18</v>
      </c>
      <c r="D3" s="11" t="s">
        <v>27</v>
      </c>
      <c r="E3" s="10" t="s">
        <v>45</v>
      </c>
      <c r="F3" s="10" t="s">
        <v>46</v>
      </c>
      <c r="G3" s="11" t="s">
        <v>24</v>
      </c>
      <c r="H3" s="10" t="s">
        <v>47</v>
      </c>
      <c r="I3" s="13">
        <v>44746</v>
      </c>
      <c r="J3" s="13">
        <v>44926</v>
      </c>
      <c r="K3" s="15"/>
      <c r="L3" s="14">
        <v>400</v>
      </c>
      <c r="M3" s="14"/>
      <c r="N3" s="12">
        <v>400</v>
      </c>
      <c r="O3" s="10"/>
    </row>
    <row r="4" spans="1:16" ht="103.5" customHeight="1" x14ac:dyDescent="0.25">
      <c r="A4" s="18" t="s">
        <v>48</v>
      </c>
      <c r="B4" s="35" t="s">
        <v>49</v>
      </c>
      <c r="C4" s="36" t="s">
        <v>15</v>
      </c>
      <c r="D4" s="36" t="s">
        <v>96</v>
      </c>
      <c r="E4" s="37" t="s">
        <v>50</v>
      </c>
      <c r="F4" s="37" t="s">
        <v>51</v>
      </c>
      <c r="G4" s="36" t="s">
        <v>29</v>
      </c>
      <c r="H4" s="37" t="s">
        <v>52</v>
      </c>
      <c r="I4" s="38">
        <v>44753</v>
      </c>
      <c r="J4" s="39">
        <v>44926</v>
      </c>
      <c r="K4" s="40" t="s">
        <v>125</v>
      </c>
      <c r="L4" s="41">
        <v>215600</v>
      </c>
      <c r="M4" s="41">
        <f>10220+1960</f>
        <v>12180</v>
      </c>
      <c r="N4" s="41">
        <f>L4-M4</f>
        <v>203420</v>
      </c>
      <c r="O4" s="37"/>
      <c r="P4" s="42"/>
    </row>
    <row r="5" spans="1:16" ht="78" customHeight="1" x14ac:dyDescent="0.25">
      <c r="A5" s="18" t="s">
        <v>53</v>
      </c>
      <c r="B5" s="35" t="s">
        <v>54</v>
      </c>
      <c r="C5" s="36" t="s">
        <v>18</v>
      </c>
      <c r="D5" s="36" t="s">
        <v>55</v>
      </c>
      <c r="E5" s="43" t="s">
        <v>56</v>
      </c>
      <c r="F5" s="37" t="s">
        <v>35</v>
      </c>
      <c r="G5" s="36" t="s">
        <v>36</v>
      </c>
      <c r="H5" s="37" t="s">
        <v>57</v>
      </c>
      <c r="I5" s="44">
        <v>44756</v>
      </c>
      <c r="J5" s="39">
        <v>44804</v>
      </c>
      <c r="K5" s="40"/>
      <c r="L5" s="41">
        <v>958</v>
      </c>
      <c r="M5" s="41"/>
      <c r="N5" s="41">
        <v>958</v>
      </c>
      <c r="O5" s="37"/>
      <c r="P5" s="42" t="s">
        <v>95</v>
      </c>
    </row>
    <row r="6" spans="1:16" ht="77.25" customHeight="1" x14ac:dyDescent="0.25">
      <c r="A6" s="18" t="s">
        <v>58</v>
      </c>
      <c r="B6" s="35" t="s">
        <v>62</v>
      </c>
      <c r="C6" s="36" t="s">
        <v>18</v>
      </c>
      <c r="D6" s="36" t="s">
        <v>25</v>
      </c>
      <c r="E6" s="37" t="s">
        <v>59</v>
      </c>
      <c r="F6" s="37" t="s">
        <v>60</v>
      </c>
      <c r="G6" s="36" t="s">
        <v>26</v>
      </c>
      <c r="H6" s="37" t="s">
        <v>61</v>
      </c>
      <c r="I6" s="45">
        <v>44764</v>
      </c>
      <c r="J6" s="45">
        <v>45128</v>
      </c>
      <c r="K6" s="40"/>
      <c r="L6" s="41">
        <v>91.8</v>
      </c>
      <c r="M6" s="41"/>
      <c r="N6" s="41">
        <v>91.8</v>
      </c>
      <c r="O6" s="37"/>
      <c r="P6" s="42"/>
    </row>
    <row r="7" spans="1:16" ht="65.25" customHeight="1" x14ac:dyDescent="0.25">
      <c r="A7" s="18" t="s">
        <v>65</v>
      </c>
      <c r="B7" s="35" t="s">
        <v>63</v>
      </c>
      <c r="C7" s="36" t="s">
        <v>18</v>
      </c>
      <c r="D7" s="46" t="s">
        <v>25</v>
      </c>
      <c r="E7" s="37" t="s">
        <v>64</v>
      </c>
      <c r="F7" s="37" t="s">
        <v>60</v>
      </c>
      <c r="G7" s="36" t="s">
        <v>26</v>
      </c>
      <c r="H7" s="37" t="s">
        <v>61</v>
      </c>
      <c r="I7" s="45">
        <v>44768</v>
      </c>
      <c r="J7" s="45">
        <v>45132</v>
      </c>
      <c r="K7" s="40"/>
      <c r="L7" s="41">
        <v>91.8</v>
      </c>
      <c r="M7" s="41"/>
      <c r="N7" s="41">
        <v>91.8</v>
      </c>
      <c r="O7" s="37"/>
      <c r="P7" s="42"/>
    </row>
    <row r="8" spans="1:16" ht="96" customHeight="1" x14ac:dyDescent="0.25">
      <c r="A8" s="18" t="s">
        <v>69</v>
      </c>
      <c r="B8" s="47" t="s">
        <v>72</v>
      </c>
      <c r="C8" s="36" t="s">
        <v>18</v>
      </c>
      <c r="D8" s="46" t="s">
        <v>25</v>
      </c>
      <c r="E8" s="48" t="s">
        <v>66</v>
      </c>
      <c r="F8" s="48" t="s">
        <v>60</v>
      </c>
      <c r="G8" s="49" t="s">
        <v>26</v>
      </c>
      <c r="H8" s="37" t="s">
        <v>68</v>
      </c>
      <c r="I8" s="45">
        <v>44769</v>
      </c>
      <c r="J8" s="45">
        <v>45133</v>
      </c>
      <c r="K8" s="50"/>
      <c r="L8" s="41">
        <v>1040</v>
      </c>
      <c r="M8" s="41"/>
      <c r="N8" s="41">
        <v>1040</v>
      </c>
      <c r="O8" s="37"/>
      <c r="P8" s="42"/>
    </row>
    <row r="9" spans="1:16" ht="90.75" customHeight="1" x14ac:dyDescent="0.25">
      <c r="A9" s="18" t="s">
        <v>70</v>
      </c>
      <c r="B9" s="47" t="s">
        <v>71</v>
      </c>
      <c r="C9" s="36" t="s">
        <v>18</v>
      </c>
      <c r="D9" s="36" t="s">
        <v>25</v>
      </c>
      <c r="E9" s="37" t="s">
        <v>67</v>
      </c>
      <c r="F9" s="48" t="s">
        <v>60</v>
      </c>
      <c r="G9" s="49" t="s">
        <v>26</v>
      </c>
      <c r="H9" s="37" t="s">
        <v>68</v>
      </c>
      <c r="I9" s="45">
        <v>44769</v>
      </c>
      <c r="J9" s="45">
        <v>45133</v>
      </c>
      <c r="K9" s="50"/>
      <c r="L9" s="41">
        <v>1040</v>
      </c>
      <c r="M9" s="41"/>
      <c r="N9" s="41">
        <v>1040</v>
      </c>
      <c r="O9" s="37"/>
      <c r="P9" s="42"/>
    </row>
    <row r="10" spans="1:16" ht="86.25" customHeight="1" x14ac:dyDescent="0.25">
      <c r="A10" s="18" t="s">
        <v>77</v>
      </c>
      <c r="B10" s="51" t="s">
        <v>73</v>
      </c>
      <c r="C10" s="36" t="s">
        <v>18</v>
      </c>
      <c r="D10" s="46" t="s">
        <v>39</v>
      </c>
      <c r="E10" s="37" t="s">
        <v>74</v>
      </c>
      <c r="F10" s="48" t="s">
        <v>17</v>
      </c>
      <c r="G10" s="49" t="s">
        <v>16</v>
      </c>
      <c r="H10" s="37" t="s">
        <v>75</v>
      </c>
      <c r="I10" s="45">
        <v>44774</v>
      </c>
      <c r="J10" s="45">
        <v>44926</v>
      </c>
      <c r="K10" s="50"/>
      <c r="L10" s="41">
        <v>656.33</v>
      </c>
      <c r="M10" s="41"/>
      <c r="N10" s="41">
        <v>656.33</v>
      </c>
      <c r="O10" s="37"/>
      <c r="P10" s="42"/>
    </row>
    <row r="11" spans="1:16" ht="85.5" customHeight="1" x14ac:dyDescent="0.25">
      <c r="A11" s="18" t="s">
        <v>76</v>
      </c>
      <c r="B11" s="35" t="s">
        <v>78</v>
      </c>
      <c r="C11" s="36" t="s">
        <v>18</v>
      </c>
      <c r="D11" s="36" t="s">
        <v>79</v>
      </c>
      <c r="E11" s="37" t="s">
        <v>80</v>
      </c>
      <c r="F11" s="37" t="s">
        <v>84</v>
      </c>
      <c r="G11" s="36" t="s">
        <v>81</v>
      </c>
      <c r="H11" s="37" t="s">
        <v>82</v>
      </c>
      <c r="I11" s="45">
        <v>44774</v>
      </c>
      <c r="J11" s="45">
        <v>44804</v>
      </c>
      <c r="K11" s="40"/>
      <c r="L11" s="41">
        <v>4550</v>
      </c>
      <c r="M11" s="41"/>
      <c r="N11" s="41">
        <v>4550</v>
      </c>
      <c r="O11" s="37"/>
      <c r="P11" s="42"/>
    </row>
    <row r="12" spans="1:16" ht="85.5" customHeight="1" x14ac:dyDescent="0.25">
      <c r="A12" s="18" t="s">
        <v>87</v>
      </c>
      <c r="B12" s="35" t="s">
        <v>86</v>
      </c>
      <c r="C12" s="36" t="s">
        <v>18</v>
      </c>
      <c r="D12" s="36" t="s">
        <v>79</v>
      </c>
      <c r="E12" s="37" t="s">
        <v>85</v>
      </c>
      <c r="F12" s="37" t="s">
        <v>84</v>
      </c>
      <c r="G12" s="36" t="s">
        <v>81</v>
      </c>
      <c r="H12" s="37" t="s">
        <v>83</v>
      </c>
      <c r="I12" s="45">
        <v>44774</v>
      </c>
      <c r="J12" s="45">
        <v>44804</v>
      </c>
      <c r="K12" s="40"/>
      <c r="L12" s="41">
        <v>3800</v>
      </c>
      <c r="M12" s="41"/>
      <c r="N12" s="41">
        <v>3800</v>
      </c>
      <c r="O12" s="37"/>
      <c r="P12" s="42"/>
    </row>
    <row r="13" spans="1:16" ht="85.5" customHeight="1" x14ac:dyDescent="0.25">
      <c r="A13" s="18" t="s">
        <v>88</v>
      </c>
      <c r="B13" s="35" t="s">
        <v>94</v>
      </c>
      <c r="C13" s="36" t="s">
        <v>18</v>
      </c>
      <c r="D13" s="36" t="s">
        <v>89</v>
      </c>
      <c r="E13" s="37" t="s">
        <v>90</v>
      </c>
      <c r="F13" s="37" t="s">
        <v>91</v>
      </c>
      <c r="G13" s="36" t="s">
        <v>92</v>
      </c>
      <c r="H13" s="37" t="s">
        <v>93</v>
      </c>
      <c r="I13" s="45">
        <v>44774</v>
      </c>
      <c r="J13" s="45">
        <v>44926</v>
      </c>
      <c r="K13" s="40"/>
      <c r="L13" s="41">
        <v>6700</v>
      </c>
      <c r="M13" s="41"/>
      <c r="N13" s="41">
        <v>6700</v>
      </c>
      <c r="O13" s="37"/>
      <c r="P13" s="42"/>
    </row>
    <row r="14" spans="1:16" ht="85.5" customHeight="1" x14ac:dyDescent="0.25">
      <c r="A14" s="18" t="s">
        <v>97</v>
      </c>
      <c r="B14" s="35" t="s">
        <v>100</v>
      </c>
      <c r="C14" s="36" t="s">
        <v>18</v>
      </c>
      <c r="D14" s="36" t="s">
        <v>98</v>
      </c>
      <c r="E14" s="37" t="s">
        <v>99</v>
      </c>
      <c r="F14" s="37" t="s">
        <v>101</v>
      </c>
      <c r="G14" s="36" t="s">
        <v>103</v>
      </c>
      <c r="H14" s="37" t="s">
        <v>102</v>
      </c>
      <c r="I14" s="45">
        <v>44777</v>
      </c>
      <c r="J14" s="45">
        <v>44926</v>
      </c>
      <c r="K14" s="40" t="s">
        <v>276</v>
      </c>
      <c r="L14" s="41">
        <v>32000</v>
      </c>
      <c r="M14" s="41">
        <v>24500</v>
      </c>
      <c r="N14" s="41">
        <f>L14-M14</f>
        <v>7500</v>
      </c>
      <c r="O14" s="37"/>
      <c r="P14" s="42"/>
    </row>
    <row r="15" spans="1:16" ht="71.25" customHeight="1" x14ac:dyDescent="0.25">
      <c r="A15" s="18" t="s">
        <v>105</v>
      </c>
      <c r="B15" s="51" t="s">
        <v>104</v>
      </c>
      <c r="C15" s="36" t="s">
        <v>34</v>
      </c>
      <c r="D15" s="46" t="s">
        <v>108</v>
      </c>
      <c r="E15" s="37" t="s">
        <v>107</v>
      </c>
      <c r="F15" s="37" t="s">
        <v>106</v>
      </c>
      <c r="G15" s="36" t="s">
        <v>29</v>
      </c>
      <c r="H15" s="37" t="s">
        <v>52</v>
      </c>
      <c r="I15" s="45">
        <v>44782</v>
      </c>
      <c r="J15" s="45">
        <v>44926</v>
      </c>
      <c r="K15" s="50"/>
      <c r="L15" s="41">
        <v>696000</v>
      </c>
      <c r="M15" s="41"/>
      <c r="N15" s="41">
        <v>696000</v>
      </c>
      <c r="O15" s="37"/>
      <c r="P15" s="42"/>
    </row>
    <row r="16" spans="1:16" ht="102" customHeight="1" x14ac:dyDescent="0.25">
      <c r="A16" s="18" t="s">
        <v>112</v>
      </c>
      <c r="B16" s="51" t="s">
        <v>116</v>
      </c>
      <c r="C16" s="36" t="s">
        <v>18</v>
      </c>
      <c r="D16" s="46" t="s">
        <v>113</v>
      </c>
      <c r="E16" s="37" t="s">
        <v>114</v>
      </c>
      <c r="F16" s="37" t="s">
        <v>22</v>
      </c>
      <c r="G16" s="36" t="s">
        <v>23</v>
      </c>
      <c r="H16" s="37" t="s">
        <v>115</v>
      </c>
      <c r="I16" s="45">
        <v>44784</v>
      </c>
      <c r="J16" s="45">
        <v>44926</v>
      </c>
      <c r="K16" s="50"/>
      <c r="L16" s="41">
        <v>5000</v>
      </c>
      <c r="M16" s="41"/>
      <c r="N16" s="41">
        <v>5000</v>
      </c>
      <c r="O16" s="37"/>
      <c r="P16" s="42"/>
    </row>
    <row r="17" spans="1:16" ht="102" customHeight="1" x14ac:dyDescent="0.25">
      <c r="A17" s="18" t="s">
        <v>120</v>
      </c>
      <c r="B17" s="51" t="s">
        <v>117</v>
      </c>
      <c r="C17" s="36" t="s">
        <v>18</v>
      </c>
      <c r="D17" s="46" t="s">
        <v>118</v>
      </c>
      <c r="E17" s="37" t="s">
        <v>119</v>
      </c>
      <c r="F17" s="37" t="s">
        <v>22</v>
      </c>
      <c r="G17" s="36" t="s">
        <v>23</v>
      </c>
      <c r="H17" s="37" t="s">
        <v>115</v>
      </c>
      <c r="I17" s="45">
        <v>44784</v>
      </c>
      <c r="J17" s="45">
        <v>44926</v>
      </c>
      <c r="K17" s="50"/>
      <c r="L17" s="41">
        <v>10000</v>
      </c>
      <c r="M17" s="41"/>
      <c r="N17" s="41">
        <v>10000</v>
      </c>
      <c r="O17" s="37"/>
      <c r="P17" s="42"/>
    </row>
    <row r="18" spans="1:16" ht="102" customHeight="1" x14ac:dyDescent="0.25">
      <c r="A18" s="18" t="s">
        <v>122</v>
      </c>
      <c r="B18" s="51" t="s">
        <v>121</v>
      </c>
      <c r="C18" s="36" t="s">
        <v>18</v>
      </c>
      <c r="D18" s="46" t="s">
        <v>124</v>
      </c>
      <c r="E18" s="37" t="s">
        <v>123</v>
      </c>
      <c r="F18" s="37" t="s">
        <v>22</v>
      </c>
      <c r="G18" s="36" t="s">
        <v>23</v>
      </c>
      <c r="H18" s="37" t="s">
        <v>115</v>
      </c>
      <c r="I18" s="45">
        <v>44784</v>
      </c>
      <c r="J18" s="45">
        <v>44926</v>
      </c>
      <c r="K18" s="50"/>
      <c r="L18" s="41">
        <v>10000</v>
      </c>
      <c r="M18" s="41"/>
      <c r="N18" s="41">
        <v>10000</v>
      </c>
      <c r="O18" s="37"/>
      <c r="P18" s="42"/>
    </row>
    <row r="19" spans="1:16" ht="69" customHeight="1" x14ac:dyDescent="0.25">
      <c r="A19" s="18" t="s">
        <v>127</v>
      </c>
      <c r="B19" s="51" t="s">
        <v>126</v>
      </c>
      <c r="C19" s="36" t="s">
        <v>18</v>
      </c>
      <c r="D19" s="46" t="s">
        <v>128</v>
      </c>
      <c r="E19" s="37" t="s">
        <v>129</v>
      </c>
      <c r="F19" s="37" t="s">
        <v>132</v>
      </c>
      <c r="G19" s="36" t="s">
        <v>130</v>
      </c>
      <c r="H19" s="37" t="s">
        <v>131</v>
      </c>
      <c r="I19" s="45">
        <v>44785</v>
      </c>
      <c r="J19" s="45">
        <v>44926</v>
      </c>
      <c r="K19" s="50"/>
      <c r="L19" s="41">
        <v>15600</v>
      </c>
      <c r="M19" s="41"/>
      <c r="N19" s="41">
        <v>15600</v>
      </c>
      <c r="O19" s="37"/>
      <c r="P19" s="42"/>
    </row>
    <row r="20" spans="1:16" ht="91.5" customHeight="1" x14ac:dyDescent="0.25">
      <c r="A20" s="18" t="s">
        <v>133</v>
      </c>
      <c r="B20" s="51" t="s">
        <v>138</v>
      </c>
      <c r="C20" s="36" t="s">
        <v>18</v>
      </c>
      <c r="D20" s="46" t="s">
        <v>134</v>
      </c>
      <c r="E20" s="37" t="s">
        <v>135</v>
      </c>
      <c r="F20" s="37" t="s">
        <v>136</v>
      </c>
      <c r="G20" s="36" t="s">
        <v>134</v>
      </c>
      <c r="H20" s="37" t="s">
        <v>137</v>
      </c>
      <c r="I20" s="45">
        <v>44785</v>
      </c>
      <c r="J20" s="45">
        <v>44926</v>
      </c>
      <c r="K20" s="50"/>
      <c r="L20" s="41">
        <v>21590</v>
      </c>
      <c r="M20" s="41"/>
      <c r="N20" s="41">
        <v>21590</v>
      </c>
      <c r="O20" s="37"/>
      <c r="P20" s="42"/>
    </row>
    <row r="21" spans="1:16" ht="69" customHeight="1" x14ac:dyDescent="0.25">
      <c r="A21" s="18" t="s">
        <v>140</v>
      </c>
      <c r="B21" s="51" t="s">
        <v>139</v>
      </c>
      <c r="C21" s="36" t="s">
        <v>141</v>
      </c>
      <c r="D21" s="46" t="s">
        <v>32</v>
      </c>
      <c r="E21" s="37" t="s">
        <v>153</v>
      </c>
      <c r="F21" s="37" t="s">
        <v>142</v>
      </c>
      <c r="G21" s="36" t="s">
        <v>143</v>
      </c>
      <c r="H21" s="37" t="s">
        <v>144</v>
      </c>
      <c r="I21" s="45">
        <v>44790</v>
      </c>
      <c r="J21" s="45">
        <v>44926</v>
      </c>
      <c r="K21" s="50"/>
      <c r="L21" s="41">
        <v>62320</v>
      </c>
      <c r="M21" s="41"/>
      <c r="N21" s="41">
        <v>62320</v>
      </c>
      <c r="O21" s="37"/>
      <c r="P21" s="42"/>
    </row>
    <row r="22" spans="1:16" ht="69" customHeight="1" x14ac:dyDescent="0.25">
      <c r="A22" s="18" t="s">
        <v>145</v>
      </c>
      <c r="B22" s="51" t="s">
        <v>146</v>
      </c>
      <c r="C22" s="36" t="s">
        <v>18</v>
      </c>
      <c r="D22" s="46" t="s">
        <v>20</v>
      </c>
      <c r="E22" s="37" t="s">
        <v>147</v>
      </c>
      <c r="F22" s="37" t="s">
        <v>148</v>
      </c>
      <c r="G22" s="36" t="s">
        <v>21</v>
      </c>
      <c r="H22" s="37" t="s">
        <v>149</v>
      </c>
      <c r="I22" s="45">
        <v>44791</v>
      </c>
      <c r="J22" s="45">
        <v>44926</v>
      </c>
      <c r="K22" s="50" t="s">
        <v>175</v>
      </c>
      <c r="L22" s="41">
        <v>1330</v>
      </c>
      <c r="M22" s="41"/>
      <c r="N22" s="41">
        <v>1330</v>
      </c>
      <c r="O22" s="37"/>
      <c r="P22" s="42"/>
    </row>
    <row r="23" spans="1:16" ht="69" customHeight="1" x14ac:dyDescent="0.25">
      <c r="A23" s="18" t="s">
        <v>151</v>
      </c>
      <c r="B23" s="51" t="s">
        <v>150</v>
      </c>
      <c r="C23" s="36" t="s">
        <v>141</v>
      </c>
      <c r="D23" s="46" t="s">
        <v>32</v>
      </c>
      <c r="E23" s="37" t="s">
        <v>152</v>
      </c>
      <c r="F23" s="37" t="s">
        <v>154</v>
      </c>
      <c r="G23" s="36" t="s">
        <v>155</v>
      </c>
      <c r="H23" s="37" t="s">
        <v>156</v>
      </c>
      <c r="I23" s="45">
        <v>44792</v>
      </c>
      <c r="J23" s="45">
        <v>44926</v>
      </c>
      <c r="K23" s="40" t="s">
        <v>180</v>
      </c>
      <c r="L23" s="41">
        <v>9339.84</v>
      </c>
      <c r="M23" s="41"/>
      <c r="N23" s="41">
        <v>9339.84</v>
      </c>
      <c r="O23" s="37"/>
      <c r="P23" s="42"/>
    </row>
    <row r="24" spans="1:16" ht="71.25" customHeight="1" x14ac:dyDescent="0.25">
      <c r="A24" s="18" t="s">
        <v>157</v>
      </c>
      <c r="B24" s="51" t="s">
        <v>158</v>
      </c>
      <c r="C24" s="36" t="s">
        <v>18</v>
      </c>
      <c r="D24" s="46" t="s">
        <v>159</v>
      </c>
      <c r="E24" s="37" t="s">
        <v>160</v>
      </c>
      <c r="F24" s="37" t="s">
        <v>37</v>
      </c>
      <c r="G24" s="36" t="s">
        <v>38</v>
      </c>
      <c r="H24" s="37" t="s">
        <v>161</v>
      </c>
      <c r="I24" s="45">
        <v>44798</v>
      </c>
      <c r="J24" s="45">
        <v>44834</v>
      </c>
      <c r="K24" s="50"/>
      <c r="L24" s="41">
        <v>38620</v>
      </c>
      <c r="M24" s="41"/>
      <c r="N24" s="41" t="s">
        <v>162</v>
      </c>
      <c r="O24" s="37"/>
      <c r="P24" s="42"/>
    </row>
    <row r="25" spans="1:16" ht="71.25" customHeight="1" x14ac:dyDescent="0.25">
      <c r="A25" s="18" t="s">
        <v>163</v>
      </c>
      <c r="B25" s="51" t="s">
        <v>164</v>
      </c>
      <c r="C25" s="36" t="s">
        <v>18</v>
      </c>
      <c r="D25" s="46" t="s">
        <v>199</v>
      </c>
      <c r="E25" s="37" t="s">
        <v>165</v>
      </c>
      <c r="F25" s="37" t="s">
        <v>167</v>
      </c>
      <c r="G25" s="36" t="s">
        <v>168</v>
      </c>
      <c r="H25" s="37" t="s">
        <v>166</v>
      </c>
      <c r="I25" s="45">
        <v>44799</v>
      </c>
      <c r="J25" s="45">
        <v>44926</v>
      </c>
      <c r="K25" s="50"/>
      <c r="L25" s="41">
        <v>7589</v>
      </c>
      <c r="M25" s="41"/>
      <c r="N25" s="41">
        <v>7589</v>
      </c>
      <c r="O25" s="37"/>
      <c r="P25" s="42"/>
    </row>
    <row r="26" spans="1:16" ht="71.25" customHeight="1" x14ac:dyDescent="0.25">
      <c r="A26" s="18" t="s">
        <v>200</v>
      </c>
      <c r="B26" s="51" t="s">
        <v>170</v>
      </c>
      <c r="C26" s="36" t="s">
        <v>173</v>
      </c>
      <c r="D26" s="46" t="s">
        <v>171</v>
      </c>
      <c r="E26" s="37" t="s">
        <v>169</v>
      </c>
      <c r="F26" s="37" t="s">
        <v>172</v>
      </c>
      <c r="G26" s="36" t="s">
        <v>181</v>
      </c>
      <c r="H26" s="37" t="s">
        <v>174</v>
      </c>
      <c r="I26" s="45">
        <v>44799</v>
      </c>
      <c r="J26" s="45">
        <v>44926</v>
      </c>
      <c r="K26" s="52" t="s">
        <v>277</v>
      </c>
      <c r="L26" s="41">
        <v>800000</v>
      </c>
      <c r="M26" s="41"/>
      <c r="N26" s="41">
        <v>800000</v>
      </c>
      <c r="O26" s="37"/>
      <c r="P26" s="42"/>
    </row>
    <row r="27" spans="1:16" ht="72" customHeight="1" x14ac:dyDescent="0.25">
      <c r="A27" s="1" t="s">
        <v>177</v>
      </c>
      <c r="B27" s="51" t="s">
        <v>176</v>
      </c>
      <c r="C27" s="36" t="s">
        <v>18</v>
      </c>
      <c r="D27" s="53" t="s">
        <v>178</v>
      </c>
      <c r="E27" s="43" t="s">
        <v>179</v>
      </c>
      <c r="F27" s="43" t="s">
        <v>167</v>
      </c>
      <c r="G27" s="53" t="s">
        <v>168</v>
      </c>
      <c r="H27" s="54" t="s">
        <v>166</v>
      </c>
      <c r="I27" s="45">
        <v>44809</v>
      </c>
      <c r="J27" s="45">
        <v>44926</v>
      </c>
      <c r="K27" s="50"/>
      <c r="L27" s="41">
        <v>15050</v>
      </c>
      <c r="M27" s="41"/>
      <c r="N27" s="41">
        <v>15050</v>
      </c>
      <c r="O27" s="37"/>
      <c r="P27" s="42"/>
    </row>
    <row r="28" spans="1:16" ht="90" customHeight="1" x14ac:dyDescent="0.25">
      <c r="A28" s="1" t="s">
        <v>182</v>
      </c>
      <c r="B28" s="51" t="s">
        <v>188</v>
      </c>
      <c r="C28" s="36" t="s">
        <v>18</v>
      </c>
      <c r="D28" s="36" t="s">
        <v>183</v>
      </c>
      <c r="E28" s="43" t="s">
        <v>184</v>
      </c>
      <c r="F28" s="37" t="s">
        <v>185</v>
      </c>
      <c r="G28" s="36" t="s">
        <v>187</v>
      </c>
      <c r="H28" s="37" t="s">
        <v>186</v>
      </c>
      <c r="I28" s="45">
        <v>44812</v>
      </c>
      <c r="J28" s="45">
        <v>44926</v>
      </c>
      <c r="K28" s="50"/>
      <c r="L28" s="41">
        <v>30000</v>
      </c>
      <c r="M28" s="41"/>
      <c r="N28" s="41">
        <v>30000</v>
      </c>
      <c r="O28" s="37"/>
      <c r="P28" s="42"/>
    </row>
    <row r="29" spans="1:16" ht="78" customHeight="1" x14ac:dyDescent="0.25">
      <c r="A29" s="1" t="s">
        <v>182</v>
      </c>
      <c r="B29" s="51" t="s">
        <v>189</v>
      </c>
      <c r="C29" s="36" t="s">
        <v>18</v>
      </c>
      <c r="D29" s="36" t="s">
        <v>190</v>
      </c>
      <c r="E29" s="37" t="s">
        <v>191</v>
      </c>
      <c r="F29" s="43" t="s">
        <v>192</v>
      </c>
      <c r="G29" s="53" t="s">
        <v>30</v>
      </c>
      <c r="H29" s="37" t="s">
        <v>193</v>
      </c>
      <c r="I29" s="45">
        <v>44812</v>
      </c>
      <c r="J29" s="45">
        <v>44926</v>
      </c>
      <c r="K29" s="50"/>
      <c r="L29" s="41">
        <v>5300</v>
      </c>
      <c r="M29" s="41"/>
      <c r="N29" s="41">
        <v>5300</v>
      </c>
      <c r="O29" s="37"/>
      <c r="P29" s="42"/>
    </row>
    <row r="30" spans="1:16" ht="87.75" customHeight="1" x14ac:dyDescent="0.25">
      <c r="A30" s="1" t="s">
        <v>182</v>
      </c>
      <c r="B30" s="51" t="s">
        <v>194</v>
      </c>
      <c r="C30" s="36" t="s">
        <v>18</v>
      </c>
      <c r="D30" s="36" t="s">
        <v>109</v>
      </c>
      <c r="E30" s="37" t="s">
        <v>195</v>
      </c>
      <c r="F30" s="43" t="s">
        <v>196</v>
      </c>
      <c r="G30" s="53" t="s">
        <v>197</v>
      </c>
      <c r="H30" s="37" t="s">
        <v>198</v>
      </c>
      <c r="I30" s="45">
        <v>44812</v>
      </c>
      <c r="J30" s="45">
        <v>44926</v>
      </c>
      <c r="K30" s="50"/>
      <c r="L30" s="41">
        <v>2500</v>
      </c>
      <c r="M30" s="41"/>
      <c r="N30" s="41">
        <v>2500</v>
      </c>
      <c r="O30" s="37"/>
      <c r="P30" s="42"/>
    </row>
    <row r="31" spans="1:16" ht="88.5" customHeight="1" x14ac:dyDescent="0.25">
      <c r="A31" s="1" t="s">
        <v>204</v>
      </c>
      <c r="B31" s="51" t="s">
        <v>201</v>
      </c>
      <c r="C31" s="36" t="s">
        <v>18</v>
      </c>
      <c r="D31" s="36" t="s">
        <v>202</v>
      </c>
      <c r="E31" s="37" t="s">
        <v>203</v>
      </c>
      <c r="F31" s="43" t="s">
        <v>33</v>
      </c>
      <c r="G31" s="53" t="s">
        <v>110</v>
      </c>
      <c r="H31" s="37" t="s">
        <v>111</v>
      </c>
      <c r="I31" s="45">
        <v>44816</v>
      </c>
      <c r="J31" s="45">
        <v>44926</v>
      </c>
      <c r="K31" s="50"/>
      <c r="L31" s="41">
        <v>2997.2</v>
      </c>
      <c r="M31" s="41"/>
      <c r="N31" s="41">
        <v>2997.2</v>
      </c>
      <c r="O31" s="37"/>
      <c r="P31" s="42"/>
    </row>
    <row r="32" spans="1:16" ht="108.75" customHeight="1" x14ac:dyDescent="0.25">
      <c r="A32" s="1" t="s">
        <v>204</v>
      </c>
      <c r="B32" s="51" t="s">
        <v>205</v>
      </c>
      <c r="C32" s="36" t="s">
        <v>18</v>
      </c>
      <c r="D32" s="36" t="s">
        <v>206</v>
      </c>
      <c r="E32" s="37" t="s">
        <v>207</v>
      </c>
      <c r="F32" s="43" t="s">
        <v>208</v>
      </c>
      <c r="G32" s="53" t="s">
        <v>209</v>
      </c>
      <c r="H32" s="37" t="s">
        <v>210</v>
      </c>
      <c r="I32" s="45">
        <v>44816</v>
      </c>
      <c r="J32" s="45">
        <v>44926</v>
      </c>
      <c r="K32" s="40" t="s">
        <v>275</v>
      </c>
      <c r="L32" s="41" t="s">
        <v>211</v>
      </c>
      <c r="M32" s="41"/>
      <c r="N32" s="41" t="s">
        <v>211</v>
      </c>
      <c r="O32" s="37"/>
      <c r="P32" s="42"/>
    </row>
    <row r="33" spans="1:16" ht="87.75" customHeight="1" x14ac:dyDescent="0.25">
      <c r="A33" s="1" t="s">
        <v>214</v>
      </c>
      <c r="B33" s="51" t="s">
        <v>215</v>
      </c>
      <c r="C33" s="36" t="s">
        <v>18</v>
      </c>
      <c r="D33" s="36" t="s">
        <v>212</v>
      </c>
      <c r="E33" s="37" t="s">
        <v>213</v>
      </c>
      <c r="F33" s="43" t="s">
        <v>22</v>
      </c>
      <c r="G33" s="53" t="s">
        <v>23</v>
      </c>
      <c r="H33" s="37" t="s">
        <v>115</v>
      </c>
      <c r="I33" s="45">
        <v>44818</v>
      </c>
      <c r="J33" s="45">
        <v>44926</v>
      </c>
      <c r="K33" s="50"/>
      <c r="L33" s="41">
        <v>864.5</v>
      </c>
      <c r="M33" s="41"/>
      <c r="N33" s="41">
        <v>864.5</v>
      </c>
      <c r="O33" s="37"/>
      <c r="P33" s="42"/>
    </row>
    <row r="34" spans="1:16" ht="61.5" customHeight="1" x14ac:dyDescent="0.25">
      <c r="A34" s="1" t="s">
        <v>216</v>
      </c>
      <c r="B34" s="51" t="s">
        <v>217</v>
      </c>
      <c r="C34" s="36" t="s">
        <v>218</v>
      </c>
      <c r="D34" s="36" t="s">
        <v>28</v>
      </c>
      <c r="E34" s="37" t="s">
        <v>40</v>
      </c>
      <c r="F34" s="43" t="s">
        <v>41</v>
      </c>
      <c r="G34" s="53" t="s">
        <v>19</v>
      </c>
      <c r="H34" s="37" t="s">
        <v>219</v>
      </c>
      <c r="I34" s="45">
        <v>44824</v>
      </c>
      <c r="J34" s="45">
        <v>44926</v>
      </c>
      <c r="K34" s="50"/>
      <c r="L34" s="41">
        <v>633000</v>
      </c>
      <c r="M34" s="41"/>
      <c r="N34" s="41">
        <v>633000</v>
      </c>
      <c r="O34" s="37"/>
      <c r="P34" s="42"/>
    </row>
    <row r="35" spans="1:16" ht="41.25" customHeight="1" x14ac:dyDescent="0.25">
      <c r="A35" s="1" t="s">
        <v>216</v>
      </c>
      <c r="B35" s="51" t="s">
        <v>221</v>
      </c>
      <c r="C35" s="36" t="s">
        <v>18</v>
      </c>
      <c r="D35" s="36" t="s">
        <v>109</v>
      </c>
      <c r="E35" s="37" t="s">
        <v>220</v>
      </c>
      <c r="F35" s="43" t="s">
        <v>196</v>
      </c>
      <c r="G35" s="53" t="s">
        <v>168</v>
      </c>
      <c r="H35" s="37" t="s">
        <v>222</v>
      </c>
      <c r="I35" s="45">
        <v>44824</v>
      </c>
      <c r="J35" s="45">
        <v>44926</v>
      </c>
      <c r="K35" s="50"/>
      <c r="L35" s="41">
        <v>2600</v>
      </c>
      <c r="M35" s="41"/>
      <c r="N35" s="41">
        <v>2600</v>
      </c>
      <c r="O35" s="37"/>
      <c r="P35" s="42"/>
    </row>
    <row r="36" spans="1:16" ht="92.25" customHeight="1" x14ac:dyDescent="0.25">
      <c r="A36" s="1" t="s">
        <v>216</v>
      </c>
      <c r="B36" s="51" t="s">
        <v>223</v>
      </c>
      <c r="C36" s="36" t="s">
        <v>18</v>
      </c>
      <c r="D36" s="36" t="s">
        <v>240</v>
      </c>
      <c r="E36" s="37" t="s">
        <v>224</v>
      </c>
      <c r="F36" s="43" t="s">
        <v>225</v>
      </c>
      <c r="G36" s="53" t="s">
        <v>226</v>
      </c>
      <c r="H36" s="37" t="s">
        <v>227</v>
      </c>
      <c r="I36" s="45">
        <v>44824</v>
      </c>
      <c r="J36" s="45">
        <v>44926</v>
      </c>
      <c r="K36" s="50"/>
      <c r="L36" s="41">
        <v>42117</v>
      </c>
      <c r="M36" s="41"/>
      <c r="N36" s="41">
        <v>42117</v>
      </c>
      <c r="O36" s="37"/>
      <c r="P36" s="42"/>
    </row>
    <row r="37" spans="1:16" ht="87.75" customHeight="1" x14ac:dyDescent="0.25">
      <c r="A37" s="1" t="s">
        <v>216</v>
      </c>
      <c r="B37" s="51" t="s">
        <v>228</v>
      </c>
      <c r="C37" s="36" t="s">
        <v>18</v>
      </c>
      <c r="D37" s="36" t="s">
        <v>240</v>
      </c>
      <c r="E37" s="37" t="s">
        <v>229</v>
      </c>
      <c r="F37" s="43" t="s">
        <v>230</v>
      </c>
      <c r="G37" s="53" t="s">
        <v>232</v>
      </c>
      <c r="H37" s="37" t="s">
        <v>231</v>
      </c>
      <c r="I37" s="45">
        <v>44824</v>
      </c>
      <c r="J37" s="45">
        <v>44926</v>
      </c>
      <c r="K37" s="50"/>
      <c r="L37" s="41">
        <v>2106</v>
      </c>
      <c r="M37" s="41"/>
      <c r="N37" s="41">
        <v>2106</v>
      </c>
      <c r="O37" s="37"/>
      <c r="P37" s="42"/>
    </row>
    <row r="38" spans="1:16" ht="66" customHeight="1" x14ac:dyDescent="0.25">
      <c r="A38" s="1" t="s">
        <v>233</v>
      </c>
      <c r="B38" s="51" t="s">
        <v>239</v>
      </c>
      <c r="C38" s="36" t="s">
        <v>218</v>
      </c>
      <c r="D38" s="46" t="s">
        <v>238</v>
      </c>
      <c r="E38" s="37" t="s">
        <v>234</v>
      </c>
      <c r="F38" s="37" t="s">
        <v>235</v>
      </c>
      <c r="G38" s="36" t="s">
        <v>237</v>
      </c>
      <c r="H38" s="37" t="s">
        <v>236</v>
      </c>
      <c r="I38" s="45">
        <v>44825</v>
      </c>
      <c r="J38" s="45">
        <v>44926</v>
      </c>
      <c r="K38" s="50"/>
      <c r="L38" s="41">
        <v>21312</v>
      </c>
      <c r="M38" s="41"/>
      <c r="N38" s="41">
        <v>21312</v>
      </c>
      <c r="O38" s="37"/>
      <c r="P38" s="42"/>
    </row>
    <row r="39" spans="1:16" ht="80.25" customHeight="1" x14ac:dyDescent="0.25">
      <c r="A39" s="1" t="s">
        <v>242</v>
      </c>
      <c r="B39" s="51" t="s">
        <v>241</v>
      </c>
      <c r="C39" s="36" t="s">
        <v>18</v>
      </c>
      <c r="D39" s="46" t="s">
        <v>42</v>
      </c>
      <c r="E39" s="37" t="s">
        <v>243</v>
      </c>
      <c r="F39" s="37" t="s">
        <v>244</v>
      </c>
      <c r="G39" s="36" t="s">
        <v>245</v>
      </c>
      <c r="H39" s="37" t="s">
        <v>246</v>
      </c>
      <c r="I39" s="45">
        <v>44826</v>
      </c>
      <c r="J39" s="45">
        <v>44926</v>
      </c>
      <c r="K39" s="50"/>
      <c r="L39" s="41">
        <v>4276</v>
      </c>
      <c r="M39" s="41"/>
      <c r="N39" s="41">
        <v>4276</v>
      </c>
      <c r="O39" s="37"/>
      <c r="P39" s="42"/>
    </row>
    <row r="40" spans="1:16" ht="74.25" customHeight="1" x14ac:dyDescent="0.25">
      <c r="A40" s="1" t="s">
        <v>247</v>
      </c>
      <c r="B40" s="51" t="s">
        <v>248</v>
      </c>
      <c r="C40" s="36" t="s">
        <v>18</v>
      </c>
      <c r="D40" s="46" t="s">
        <v>249</v>
      </c>
      <c r="E40" s="37" t="s">
        <v>250</v>
      </c>
      <c r="F40" s="37" t="s">
        <v>33</v>
      </c>
      <c r="G40" s="36" t="s">
        <v>110</v>
      </c>
      <c r="H40" s="37" t="s">
        <v>254</v>
      </c>
      <c r="I40" s="45">
        <v>44827</v>
      </c>
      <c r="J40" s="45">
        <v>44926</v>
      </c>
      <c r="K40" s="50"/>
      <c r="L40" s="41">
        <v>2935</v>
      </c>
      <c r="M40" s="41"/>
      <c r="N40" s="41">
        <v>2935</v>
      </c>
      <c r="O40" s="37"/>
      <c r="P40" s="42"/>
    </row>
    <row r="41" spans="1:16" ht="66.75" customHeight="1" x14ac:dyDescent="0.25">
      <c r="A41" s="1" t="s">
        <v>247</v>
      </c>
      <c r="B41" s="51" t="s">
        <v>251</v>
      </c>
      <c r="C41" s="36" t="s">
        <v>18</v>
      </c>
      <c r="D41" s="46" t="s">
        <v>252</v>
      </c>
      <c r="E41" s="37" t="s">
        <v>253</v>
      </c>
      <c r="F41" s="37" t="s">
        <v>33</v>
      </c>
      <c r="G41" s="36" t="s">
        <v>110</v>
      </c>
      <c r="H41" s="37" t="s">
        <v>254</v>
      </c>
      <c r="I41" s="55">
        <v>44827</v>
      </c>
      <c r="J41" s="45">
        <v>44926</v>
      </c>
      <c r="K41" s="50"/>
      <c r="L41" s="41">
        <v>3484</v>
      </c>
      <c r="M41" s="41"/>
      <c r="N41" s="41">
        <v>3484</v>
      </c>
      <c r="O41" s="37"/>
      <c r="P41" s="42"/>
    </row>
    <row r="42" spans="1:16" ht="71.25" customHeight="1" x14ac:dyDescent="0.25">
      <c r="A42" s="1" t="s">
        <v>247</v>
      </c>
      <c r="B42" s="51" t="s">
        <v>255</v>
      </c>
      <c r="C42" s="36" t="s">
        <v>18</v>
      </c>
      <c r="D42" s="36" t="s">
        <v>256</v>
      </c>
      <c r="E42" s="37" t="s">
        <v>257</v>
      </c>
      <c r="F42" s="43" t="s">
        <v>33</v>
      </c>
      <c r="G42" s="53" t="s">
        <v>110</v>
      </c>
      <c r="H42" s="37" t="s">
        <v>254</v>
      </c>
      <c r="I42" s="45">
        <v>44827</v>
      </c>
      <c r="J42" s="45">
        <v>44926</v>
      </c>
      <c r="K42" s="50"/>
      <c r="L42" s="41">
        <v>3411</v>
      </c>
      <c r="M42" s="41"/>
      <c r="N42" s="41">
        <v>3411</v>
      </c>
      <c r="O42" s="37"/>
      <c r="P42" s="42"/>
    </row>
    <row r="43" spans="1:16" ht="80.25" customHeight="1" x14ac:dyDescent="0.25">
      <c r="A43" s="1" t="s">
        <v>247</v>
      </c>
      <c r="B43" s="51" t="s">
        <v>258</v>
      </c>
      <c r="C43" s="36" t="s">
        <v>18</v>
      </c>
      <c r="D43" s="36" t="s">
        <v>25</v>
      </c>
      <c r="E43" s="37" t="s">
        <v>278</v>
      </c>
      <c r="F43" s="37" t="s">
        <v>60</v>
      </c>
      <c r="G43" s="36" t="s">
        <v>26</v>
      </c>
      <c r="H43" s="37" t="s">
        <v>61</v>
      </c>
      <c r="I43" s="45">
        <v>44827</v>
      </c>
      <c r="J43" s="45">
        <v>45194</v>
      </c>
      <c r="K43" s="50"/>
      <c r="L43" s="41">
        <v>91.8</v>
      </c>
      <c r="M43" s="41"/>
      <c r="N43" s="41">
        <v>91.8</v>
      </c>
      <c r="O43" s="37"/>
      <c r="P43" s="42"/>
    </row>
    <row r="44" spans="1:16" ht="80.25" customHeight="1" x14ac:dyDescent="0.25">
      <c r="A44" s="1" t="s">
        <v>247</v>
      </c>
      <c r="B44" s="51" t="s">
        <v>260</v>
      </c>
      <c r="C44" s="36" t="s">
        <v>18</v>
      </c>
      <c r="D44" s="36" t="s">
        <v>25</v>
      </c>
      <c r="E44" s="37" t="s">
        <v>259</v>
      </c>
      <c r="F44" s="37" t="s">
        <v>60</v>
      </c>
      <c r="G44" s="36" t="s">
        <v>26</v>
      </c>
      <c r="H44" s="37" t="s">
        <v>61</v>
      </c>
      <c r="I44" s="45">
        <v>44827</v>
      </c>
      <c r="J44" s="45">
        <v>44951</v>
      </c>
      <c r="K44" s="50"/>
      <c r="L44" s="41">
        <v>350.14</v>
      </c>
      <c r="M44" s="41"/>
      <c r="N44" s="41">
        <v>350.14</v>
      </c>
      <c r="O44" s="37"/>
      <c r="P44" s="42"/>
    </row>
    <row r="45" spans="1:16" ht="80.25" customHeight="1" x14ac:dyDescent="0.25">
      <c r="A45" s="1" t="s">
        <v>261</v>
      </c>
      <c r="B45" s="51" t="s">
        <v>264</v>
      </c>
      <c r="C45" s="36" t="s">
        <v>18</v>
      </c>
      <c r="D45" s="36" t="s">
        <v>262</v>
      </c>
      <c r="E45" s="37" t="s">
        <v>263</v>
      </c>
      <c r="F45" s="37" t="s">
        <v>33</v>
      </c>
      <c r="G45" s="36" t="s">
        <v>110</v>
      </c>
      <c r="H45" s="37" t="s">
        <v>254</v>
      </c>
      <c r="I45" s="45">
        <v>44832</v>
      </c>
      <c r="J45" s="45">
        <v>44926</v>
      </c>
      <c r="K45" s="50"/>
      <c r="L45" s="41">
        <v>970</v>
      </c>
      <c r="M45" s="41"/>
      <c r="N45" s="41">
        <v>970</v>
      </c>
      <c r="O45" s="37"/>
      <c r="P45" s="42"/>
    </row>
    <row r="46" spans="1:16" ht="80.25" customHeight="1" x14ac:dyDescent="0.25">
      <c r="A46" s="1" t="s">
        <v>261</v>
      </c>
      <c r="B46" s="51" t="s">
        <v>265</v>
      </c>
      <c r="C46" s="36" t="s">
        <v>18</v>
      </c>
      <c r="D46" s="36"/>
      <c r="E46" s="37" t="s">
        <v>274</v>
      </c>
      <c r="F46" s="37" t="s">
        <v>33</v>
      </c>
      <c r="G46" s="36" t="s">
        <v>110</v>
      </c>
      <c r="H46" s="37" t="s">
        <v>254</v>
      </c>
      <c r="I46" s="45">
        <v>44832</v>
      </c>
      <c r="J46" s="45">
        <v>44926</v>
      </c>
      <c r="K46" s="50"/>
      <c r="L46" s="41">
        <v>1500</v>
      </c>
      <c r="M46" s="41"/>
      <c r="N46" s="41">
        <v>1500</v>
      </c>
      <c r="O46" s="37"/>
      <c r="P46" s="42"/>
    </row>
    <row r="47" spans="1:16" ht="80.25" customHeight="1" x14ac:dyDescent="0.25">
      <c r="A47" s="1" t="s">
        <v>261</v>
      </c>
      <c r="B47" s="51" t="s">
        <v>266</v>
      </c>
      <c r="C47" s="36" t="s">
        <v>18</v>
      </c>
      <c r="D47" s="36" t="s">
        <v>269</v>
      </c>
      <c r="E47" s="37" t="s">
        <v>267</v>
      </c>
      <c r="F47" s="37" t="s">
        <v>268</v>
      </c>
      <c r="G47" s="36" t="s">
        <v>270</v>
      </c>
      <c r="H47" s="37" t="s">
        <v>271</v>
      </c>
      <c r="I47" s="45">
        <v>44832</v>
      </c>
      <c r="J47" s="45">
        <v>44926</v>
      </c>
      <c r="K47" s="50"/>
      <c r="L47" s="41">
        <v>1774.82</v>
      </c>
      <c r="M47" s="41"/>
      <c r="N47" s="41">
        <v>1774.82</v>
      </c>
      <c r="O47" s="37"/>
      <c r="P47" s="42"/>
    </row>
    <row r="48" spans="1:16" ht="80.25" customHeight="1" x14ac:dyDescent="0.25">
      <c r="A48" s="1" t="s">
        <v>261</v>
      </c>
      <c r="B48" s="51" t="s">
        <v>272</v>
      </c>
      <c r="C48" s="36" t="s">
        <v>18</v>
      </c>
      <c r="D48" s="36" t="s">
        <v>124</v>
      </c>
      <c r="E48" s="37" t="s">
        <v>273</v>
      </c>
      <c r="F48" s="37" t="s">
        <v>22</v>
      </c>
      <c r="G48" s="36" t="s">
        <v>23</v>
      </c>
      <c r="H48" s="37" t="s">
        <v>115</v>
      </c>
      <c r="I48" s="45">
        <v>44832</v>
      </c>
      <c r="J48" s="45">
        <v>44926</v>
      </c>
      <c r="K48" s="50"/>
      <c r="L48" s="41">
        <v>506.03</v>
      </c>
      <c r="M48" s="41"/>
      <c r="N48" s="41">
        <v>506.03</v>
      </c>
      <c r="O48" s="37"/>
      <c r="P48" s="42"/>
    </row>
  </sheetData>
  <autoFilter ref="A2:O48" xr:uid="{00000000-0009-0000-0000-000000000000}"/>
  <mergeCells count="14">
    <mergeCell ref="O1:O2"/>
    <mergeCell ref="L1:L2"/>
    <mergeCell ref="N1:N2"/>
    <mergeCell ref="M1:M2"/>
    <mergeCell ref="D1:D2"/>
    <mergeCell ref="K1:K2"/>
    <mergeCell ref="A1:A2"/>
    <mergeCell ref="G1:G2"/>
    <mergeCell ref="H1:H2"/>
    <mergeCell ref="I1:J1"/>
    <mergeCell ref="B1:B2"/>
    <mergeCell ref="E1:E2"/>
    <mergeCell ref="F1:F2"/>
    <mergeCell ref="C1:C2"/>
  </mergeCells>
  <conditionalFormatting sqref="I38:J38 I3:J3 I8:J10 J15:J26 I27:J28">
    <cfRule type="timePeriod" dxfId="87" priority="802" timePeriod="nextWeek">
      <formula>AND(ROUNDDOWN(I3,0)-TODAY()&gt;(7-WEEKDAY(TODAY())),ROUNDDOWN(I3,0)-TODAY()&lt;(15-WEEKDAY(TODAY())))</formula>
    </cfRule>
    <cfRule type="timePeriod" dxfId="86" priority="803" timePeriod="nextWeek">
      <formula>AND(ROUNDDOWN(I3,0)-TODAY()&gt;(7-WEEKDAY(TODAY())),ROUNDDOWN(I3,0)-TODAY()&lt;(15-WEEKDAY(TODAY())))</formula>
    </cfRule>
  </conditionalFormatting>
  <conditionalFormatting sqref="J49:J1048576 I38:J38 J1:J2 I3:J3 I8:J10 J15:J26 I27:J28">
    <cfRule type="timePeriod" dxfId="85" priority="798" timePeriod="nextWeek">
      <formula>AND(ROUNDDOWN(I1,0)-TODAY()&gt;(7-WEEKDAY(TODAY())),ROUNDDOWN(I1,0)-TODAY()&lt;(15-WEEKDAY(TODAY())))</formula>
    </cfRule>
    <cfRule type="timePeriod" dxfId="84" priority="799" timePeriod="nextWeek">
      <formula>AND(ROUNDDOWN(I1,0)-TODAY()&gt;(7-WEEKDAY(TODAY())),ROUNDDOWN(I1,0)-TODAY()&lt;(15-WEEKDAY(TODAY())))</formula>
    </cfRule>
  </conditionalFormatting>
  <conditionalFormatting sqref="J42:J48">
    <cfRule type="timePeriod" dxfId="83" priority="419" timePeriod="nextWeek">
      <formula>AND(ROUNDDOWN(J42,0)-TODAY()&gt;(7-WEEKDAY(TODAY())),ROUNDDOWN(J42,0)-TODAY()&lt;(15-WEEKDAY(TODAY())))</formula>
    </cfRule>
    <cfRule type="timePeriod" dxfId="82" priority="420" timePeriod="nextWeek">
      <formula>AND(ROUNDDOWN(J42,0)-TODAY()&gt;(7-WEEKDAY(TODAY())),ROUNDDOWN(J42,0)-TODAY()&lt;(15-WEEKDAY(TODAY())))</formula>
    </cfRule>
  </conditionalFormatting>
  <conditionalFormatting sqref="J42:J48">
    <cfRule type="timePeriod" dxfId="81" priority="417" timePeriod="nextWeek">
      <formula>AND(ROUNDDOWN(J42,0)-TODAY()&gt;(7-WEEKDAY(TODAY())),ROUNDDOWN(J42,0)-TODAY()&lt;(15-WEEKDAY(TODAY())))</formula>
    </cfRule>
    <cfRule type="timePeriod" dxfId="80" priority="418" timePeriod="nextWeek">
      <formula>AND(ROUNDDOWN(J42,0)-TODAY()&gt;(7-WEEKDAY(TODAY())),ROUNDDOWN(J42,0)-TODAY()&lt;(15-WEEKDAY(TODAY())))</formula>
    </cfRule>
  </conditionalFormatting>
  <conditionalFormatting sqref="J6">
    <cfRule type="timePeriod" dxfId="79" priority="307" timePeriod="nextWeek">
      <formula>AND(ROUNDDOWN(J6,0)-TODAY()&gt;(7-WEEKDAY(TODAY())),ROUNDDOWN(J6,0)-TODAY()&lt;(15-WEEKDAY(TODAY())))</formula>
    </cfRule>
    <cfRule type="timePeriod" dxfId="78" priority="308" timePeriod="nextWeek">
      <formula>AND(ROUNDDOWN(J6,0)-TODAY()&gt;(7-WEEKDAY(TODAY())),ROUNDDOWN(J6,0)-TODAY()&lt;(15-WEEKDAY(TODAY())))</formula>
    </cfRule>
  </conditionalFormatting>
  <conditionalFormatting sqref="J6">
    <cfRule type="timePeriod" dxfId="77" priority="305" timePeriod="nextWeek">
      <formula>AND(ROUNDDOWN(J6,0)-TODAY()&gt;(7-WEEKDAY(TODAY())),ROUNDDOWN(J6,0)-TODAY()&lt;(15-WEEKDAY(TODAY())))</formula>
    </cfRule>
    <cfRule type="timePeriod" dxfId="76" priority="306" timePeriod="nextWeek">
      <formula>AND(ROUNDDOWN(J6,0)-TODAY()&gt;(7-WEEKDAY(TODAY())),ROUNDDOWN(J6,0)-TODAY()&lt;(15-WEEKDAY(TODAY())))</formula>
    </cfRule>
  </conditionalFormatting>
  <conditionalFormatting sqref="I6">
    <cfRule type="timePeriod" dxfId="75" priority="303" timePeriod="nextWeek">
      <formula>AND(ROUNDDOWN(I6,0)-TODAY()&gt;(7-WEEKDAY(TODAY())),ROUNDDOWN(I6,0)-TODAY()&lt;(15-WEEKDAY(TODAY())))</formula>
    </cfRule>
    <cfRule type="timePeriod" dxfId="74" priority="304" timePeriod="nextWeek">
      <formula>AND(ROUNDDOWN(I6,0)-TODAY()&gt;(7-WEEKDAY(TODAY())),ROUNDDOWN(I6,0)-TODAY()&lt;(15-WEEKDAY(TODAY())))</formula>
    </cfRule>
  </conditionalFormatting>
  <conditionalFormatting sqref="I6">
    <cfRule type="timePeriod" dxfId="73" priority="301" timePeriod="nextWeek">
      <formula>AND(ROUNDDOWN(I6,0)-TODAY()&gt;(7-WEEKDAY(TODAY())),ROUNDDOWN(I6,0)-TODAY()&lt;(15-WEEKDAY(TODAY())))</formula>
    </cfRule>
    <cfRule type="timePeriod" dxfId="72" priority="302" timePeriod="nextWeek">
      <formula>AND(ROUNDDOWN(I6,0)-TODAY()&gt;(7-WEEKDAY(TODAY())),ROUNDDOWN(I6,0)-TODAY()&lt;(15-WEEKDAY(TODAY())))</formula>
    </cfRule>
  </conditionalFormatting>
  <conditionalFormatting sqref="J4">
    <cfRule type="timePeriod" dxfId="71" priority="299" timePeriod="nextWeek">
      <formula>AND(ROUNDDOWN(J4,0)-TODAY()&gt;(7-WEEKDAY(TODAY())),ROUNDDOWN(J4,0)-TODAY()&lt;(15-WEEKDAY(TODAY())))</formula>
    </cfRule>
    <cfRule type="timePeriod" dxfId="70" priority="300" timePeriod="nextWeek">
      <formula>AND(ROUNDDOWN(J4,0)-TODAY()&gt;(7-WEEKDAY(TODAY())),ROUNDDOWN(J4,0)-TODAY()&lt;(15-WEEKDAY(TODAY())))</formula>
    </cfRule>
  </conditionalFormatting>
  <conditionalFormatting sqref="J4">
    <cfRule type="timePeriod" dxfId="69" priority="297" timePeriod="nextWeek">
      <formula>AND(ROUNDDOWN(J4,0)-TODAY()&gt;(7-WEEKDAY(TODAY())),ROUNDDOWN(J4,0)-TODAY()&lt;(15-WEEKDAY(TODAY())))</formula>
    </cfRule>
    <cfRule type="timePeriod" dxfId="68" priority="298" timePeriod="nextWeek">
      <formula>AND(ROUNDDOWN(J4,0)-TODAY()&gt;(7-WEEKDAY(TODAY())),ROUNDDOWN(J4,0)-TODAY()&lt;(15-WEEKDAY(TODAY())))</formula>
    </cfRule>
  </conditionalFormatting>
  <conditionalFormatting sqref="J5">
    <cfRule type="timePeriod" dxfId="67" priority="295" timePeriod="nextWeek">
      <formula>AND(ROUNDDOWN(J5,0)-TODAY()&gt;(7-WEEKDAY(TODAY())),ROUNDDOWN(J5,0)-TODAY()&lt;(15-WEEKDAY(TODAY())))</formula>
    </cfRule>
    <cfRule type="timePeriod" dxfId="66" priority="296" timePeriod="nextWeek">
      <formula>AND(ROUNDDOWN(J5,0)-TODAY()&gt;(7-WEEKDAY(TODAY())),ROUNDDOWN(J5,0)-TODAY()&lt;(15-WEEKDAY(TODAY())))</formula>
    </cfRule>
  </conditionalFormatting>
  <conditionalFormatting sqref="J5">
    <cfRule type="timePeriod" dxfId="65" priority="293" timePeriod="nextWeek">
      <formula>AND(ROUNDDOWN(J5,0)-TODAY()&gt;(7-WEEKDAY(TODAY())),ROUNDDOWN(J5,0)-TODAY()&lt;(15-WEEKDAY(TODAY())))</formula>
    </cfRule>
    <cfRule type="timePeriod" dxfId="64" priority="294" timePeriod="nextWeek">
      <formula>AND(ROUNDDOWN(J5,0)-TODAY()&gt;(7-WEEKDAY(TODAY())),ROUNDDOWN(J5,0)-TODAY()&lt;(15-WEEKDAY(TODAY())))</formula>
    </cfRule>
  </conditionalFormatting>
  <conditionalFormatting sqref="J7">
    <cfRule type="timePeriod" dxfId="63" priority="291" timePeriod="nextWeek">
      <formula>AND(ROUNDDOWN(J7,0)-TODAY()&gt;(7-WEEKDAY(TODAY())),ROUNDDOWN(J7,0)-TODAY()&lt;(15-WEEKDAY(TODAY())))</formula>
    </cfRule>
    <cfRule type="timePeriod" dxfId="62" priority="292" timePeriod="nextWeek">
      <formula>AND(ROUNDDOWN(J7,0)-TODAY()&gt;(7-WEEKDAY(TODAY())),ROUNDDOWN(J7,0)-TODAY()&lt;(15-WEEKDAY(TODAY())))</formula>
    </cfRule>
  </conditionalFormatting>
  <conditionalFormatting sqref="J7">
    <cfRule type="timePeriod" dxfId="61" priority="289" timePeriod="nextWeek">
      <formula>AND(ROUNDDOWN(J7,0)-TODAY()&gt;(7-WEEKDAY(TODAY())),ROUNDDOWN(J7,0)-TODAY()&lt;(15-WEEKDAY(TODAY())))</formula>
    </cfRule>
    <cfRule type="timePeriod" dxfId="60" priority="290" timePeriod="nextWeek">
      <formula>AND(ROUNDDOWN(J7,0)-TODAY()&gt;(7-WEEKDAY(TODAY())),ROUNDDOWN(J7,0)-TODAY()&lt;(15-WEEKDAY(TODAY())))</formula>
    </cfRule>
  </conditionalFormatting>
  <conditionalFormatting sqref="I7">
    <cfRule type="timePeriod" dxfId="59" priority="287" timePeriod="nextWeek">
      <formula>AND(ROUNDDOWN(I7,0)-TODAY()&gt;(7-WEEKDAY(TODAY())),ROUNDDOWN(I7,0)-TODAY()&lt;(15-WEEKDAY(TODAY())))</formula>
    </cfRule>
    <cfRule type="timePeriod" dxfId="58" priority="288" timePeriod="nextWeek">
      <formula>AND(ROUNDDOWN(I7,0)-TODAY()&gt;(7-WEEKDAY(TODAY())),ROUNDDOWN(I7,0)-TODAY()&lt;(15-WEEKDAY(TODAY())))</formula>
    </cfRule>
  </conditionalFormatting>
  <conditionalFormatting sqref="I7">
    <cfRule type="timePeriod" dxfId="57" priority="285" timePeriod="nextWeek">
      <formula>AND(ROUNDDOWN(I7,0)-TODAY()&gt;(7-WEEKDAY(TODAY())),ROUNDDOWN(I7,0)-TODAY()&lt;(15-WEEKDAY(TODAY())))</formula>
    </cfRule>
    <cfRule type="timePeriod" dxfId="56" priority="286" timePeriod="nextWeek">
      <formula>AND(ROUNDDOWN(I7,0)-TODAY()&gt;(7-WEEKDAY(TODAY())),ROUNDDOWN(I7,0)-TODAY()&lt;(15-WEEKDAY(TODAY())))</formula>
    </cfRule>
  </conditionalFormatting>
  <conditionalFormatting sqref="J11:J14">
    <cfRule type="timePeriod" dxfId="55" priority="283" timePeriod="nextWeek">
      <formula>AND(ROUNDDOWN(J11,0)-TODAY()&gt;(7-WEEKDAY(TODAY())),ROUNDDOWN(J11,0)-TODAY()&lt;(15-WEEKDAY(TODAY())))</formula>
    </cfRule>
    <cfRule type="timePeriod" dxfId="54" priority="284" timePeriod="nextWeek">
      <formula>AND(ROUNDDOWN(J11,0)-TODAY()&gt;(7-WEEKDAY(TODAY())),ROUNDDOWN(J11,0)-TODAY()&lt;(15-WEEKDAY(TODAY())))</formula>
    </cfRule>
  </conditionalFormatting>
  <conditionalFormatting sqref="J11:J14">
    <cfRule type="timePeriod" dxfId="53" priority="281" timePeriod="nextWeek">
      <formula>AND(ROUNDDOWN(J11,0)-TODAY()&gt;(7-WEEKDAY(TODAY())),ROUNDDOWN(J11,0)-TODAY()&lt;(15-WEEKDAY(TODAY())))</formula>
    </cfRule>
    <cfRule type="timePeriod" dxfId="52" priority="282" timePeriod="nextWeek">
      <formula>AND(ROUNDDOWN(J11,0)-TODAY()&gt;(7-WEEKDAY(TODAY())),ROUNDDOWN(J11,0)-TODAY()&lt;(15-WEEKDAY(TODAY())))</formula>
    </cfRule>
  </conditionalFormatting>
  <conditionalFormatting sqref="I11:I14">
    <cfRule type="timePeriod" dxfId="51" priority="279" timePeriod="nextWeek">
      <formula>AND(ROUNDDOWN(I11,0)-TODAY()&gt;(7-WEEKDAY(TODAY())),ROUNDDOWN(I11,0)-TODAY()&lt;(15-WEEKDAY(TODAY())))</formula>
    </cfRule>
    <cfRule type="timePeriod" dxfId="50" priority="280" timePeriod="nextWeek">
      <formula>AND(ROUNDDOWN(I11,0)-TODAY()&gt;(7-WEEKDAY(TODAY())),ROUNDDOWN(I11,0)-TODAY()&lt;(15-WEEKDAY(TODAY())))</formula>
    </cfRule>
  </conditionalFormatting>
  <conditionalFormatting sqref="I11:I14">
    <cfRule type="timePeriod" dxfId="49" priority="277" timePeriod="nextWeek">
      <formula>AND(ROUNDDOWN(I11,0)-TODAY()&gt;(7-WEEKDAY(TODAY())),ROUNDDOWN(I11,0)-TODAY()&lt;(15-WEEKDAY(TODAY())))</formula>
    </cfRule>
    <cfRule type="timePeriod" dxfId="48" priority="278" timePeriod="nextWeek">
      <formula>AND(ROUNDDOWN(I11,0)-TODAY()&gt;(7-WEEKDAY(TODAY())),ROUNDDOWN(I11,0)-TODAY()&lt;(15-WEEKDAY(TODAY())))</formula>
    </cfRule>
  </conditionalFormatting>
  <conditionalFormatting sqref="I29:J29">
    <cfRule type="timePeriod" dxfId="47" priority="265" timePeriod="nextWeek">
      <formula>AND(ROUNDDOWN(I29,0)-TODAY()&gt;(7-WEEKDAY(TODAY())),ROUNDDOWN(I29,0)-TODAY()&lt;(15-WEEKDAY(TODAY())))</formula>
    </cfRule>
    <cfRule type="timePeriod" dxfId="46" priority="266" timePeriod="nextWeek">
      <formula>AND(ROUNDDOWN(I29,0)-TODAY()&gt;(7-WEEKDAY(TODAY())),ROUNDDOWN(I29,0)-TODAY()&lt;(15-WEEKDAY(TODAY())))</formula>
    </cfRule>
  </conditionalFormatting>
  <conditionalFormatting sqref="I29:J29">
    <cfRule type="timePeriod" dxfId="45" priority="263" timePeriod="nextWeek">
      <formula>AND(ROUNDDOWN(I29,0)-TODAY()&gt;(7-WEEKDAY(TODAY())),ROUNDDOWN(I29,0)-TODAY()&lt;(15-WEEKDAY(TODAY())))</formula>
    </cfRule>
    <cfRule type="timePeriod" dxfId="44" priority="264" timePeriod="nextWeek">
      <formula>AND(ROUNDDOWN(I29,0)-TODAY()&gt;(7-WEEKDAY(TODAY())),ROUNDDOWN(I29,0)-TODAY()&lt;(15-WEEKDAY(TODAY())))</formula>
    </cfRule>
  </conditionalFormatting>
  <conditionalFormatting sqref="I30:J30">
    <cfRule type="timePeriod" dxfId="43" priority="261" timePeriod="nextWeek">
      <formula>AND(ROUNDDOWN(I30,0)-TODAY()&gt;(7-WEEKDAY(TODAY())),ROUNDDOWN(I30,0)-TODAY()&lt;(15-WEEKDAY(TODAY())))</formula>
    </cfRule>
    <cfRule type="timePeriod" dxfId="42" priority="262" timePeriod="nextWeek">
      <formula>AND(ROUNDDOWN(I30,0)-TODAY()&gt;(7-WEEKDAY(TODAY())),ROUNDDOWN(I30,0)-TODAY()&lt;(15-WEEKDAY(TODAY())))</formula>
    </cfRule>
  </conditionalFormatting>
  <conditionalFormatting sqref="I30:J30">
    <cfRule type="timePeriod" dxfId="41" priority="259" timePeriod="nextWeek">
      <formula>AND(ROUNDDOWN(I30,0)-TODAY()&gt;(7-WEEKDAY(TODAY())),ROUNDDOWN(I30,0)-TODAY()&lt;(15-WEEKDAY(TODAY())))</formula>
    </cfRule>
    <cfRule type="timePeriod" dxfId="40" priority="260" timePeriod="nextWeek">
      <formula>AND(ROUNDDOWN(I30,0)-TODAY()&gt;(7-WEEKDAY(TODAY())),ROUNDDOWN(I30,0)-TODAY()&lt;(15-WEEKDAY(TODAY())))</formula>
    </cfRule>
  </conditionalFormatting>
  <conditionalFormatting sqref="I31:J31">
    <cfRule type="timePeriod" dxfId="39" priority="257" timePeriod="nextWeek">
      <formula>AND(ROUNDDOWN(I31,0)-TODAY()&gt;(7-WEEKDAY(TODAY())),ROUNDDOWN(I31,0)-TODAY()&lt;(15-WEEKDAY(TODAY())))</formula>
    </cfRule>
    <cfRule type="timePeriod" dxfId="38" priority="258" timePeriod="nextWeek">
      <formula>AND(ROUNDDOWN(I31,0)-TODAY()&gt;(7-WEEKDAY(TODAY())),ROUNDDOWN(I31,0)-TODAY()&lt;(15-WEEKDAY(TODAY())))</formula>
    </cfRule>
  </conditionalFormatting>
  <conditionalFormatting sqref="I31:J31">
    <cfRule type="timePeriod" dxfId="37" priority="255" timePeriod="nextWeek">
      <formula>AND(ROUNDDOWN(I31,0)-TODAY()&gt;(7-WEEKDAY(TODAY())),ROUNDDOWN(I31,0)-TODAY()&lt;(15-WEEKDAY(TODAY())))</formula>
    </cfRule>
    <cfRule type="timePeriod" dxfId="36" priority="256" timePeriod="nextWeek">
      <formula>AND(ROUNDDOWN(I31,0)-TODAY()&gt;(7-WEEKDAY(TODAY())),ROUNDDOWN(I31,0)-TODAY()&lt;(15-WEEKDAY(TODAY())))</formula>
    </cfRule>
  </conditionalFormatting>
  <conditionalFormatting sqref="I32:J33">
    <cfRule type="timePeriod" dxfId="35" priority="253" timePeriod="nextWeek">
      <formula>AND(ROUNDDOWN(I32,0)-TODAY()&gt;(7-WEEKDAY(TODAY())),ROUNDDOWN(I32,0)-TODAY()&lt;(15-WEEKDAY(TODAY())))</formula>
    </cfRule>
    <cfRule type="timePeriod" dxfId="34" priority="254" timePeriod="nextWeek">
      <formula>AND(ROUNDDOWN(I32,0)-TODAY()&gt;(7-WEEKDAY(TODAY())),ROUNDDOWN(I32,0)-TODAY()&lt;(15-WEEKDAY(TODAY())))</formula>
    </cfRule>
  </conditionalFormatting>
  <conditionalFormatting sqref="I32:J33">
    <cfRule type="timePeriod" dxfId="33" priority="251" timePeriod="nextWeek">
      <formula>AND(ROUNDDOWN(I32,0)-TODAY()&gt;(7-WEEKDAY(TODAY())),ROUNDDOWN(I32,0)-TODAY()&lt;(15-WEEKDAY(TODAY())))</formula>
    </cfRule>
    <cfRule type="timePeriod" dxfId="32" priority="252" timePeriod="nextWeek">
      <formula>AND(ROUNDDOWN(I32,0)-TODAY()&gt;(7-WEEKDAY(TODAY())),ROUNDDOWN(I32,0)-TODAY()&lt;(15-WEEKDAY(TODAY())))</formula>
    </cfRule>
  </conditionalFormatting>
  <conditionalFormatting sqref="I34:J34">
    <cfRule type="timePeriod" dxfId="31" priority="249" timePeriod="nextWeek">
      <formula>AND(ROUNDDOWN(I34,0)-TODAY()&gt;(7-WEEKDAY(TODAY())),ROUNDDOWN(I34,0)-TODAY()&lt;(15-WEEKDAY(TODAY())))</formula>
    </cfRule>
    <cfRule type="timePeriod" dxfId="30" priority="250" timePeriod="nextWeek">
      <formula>AND(ROUNDDOWN(I34,0)-TODAY()&gt;(7-WEEKDAY(TODAY())),ROUNDDOWN(I34,0)-TODAY()&lt;(15-WEEKDAY(TODAY())))</formula>
    </cfRule>
  </conditionalFormatting>
  <conditionalFormatting sqref="I34:J34">
    <cfRule type="timePeriod" dxfId="29" priority="247" timePeriod="nextWeek">
      <formula>AND(ROUNDDOWN(I34,0)-TODAY()&gt;(7-WEEKDAY(TODAY())),ROUNDDOWN(I34,0)-TODAY()&lt;(15-WEEKDAY(TODAY())))</formula>
    </cfRule>
    <cfRule type="timePeriod" dxfId="28" priority="248" timePeriod="nextWeek">
      <formula>AND(ROUNDDOWN(I34,0)-TODAY()&gt;(7-WEEKDAY(TODAY())),ROUNDDOWN(I34,0)-TODAY()&lt;(15-WEEKDAY(TODAY())))</formula>
    </cfRule>
  </conditionalFormatting>
  <conditionalFormatting sqref="I35:J35">
    <cfRule type="timePeriod" dxfId="27" priority="245" timePeriod="nextWeek">
      <formula>AND(ROUNDDOWN(I35,0)-TODAY()&gt;(7-WEEKDAY(TODAY())),ROUNDDOWN(I35,0)-TODAY()&lt;(15-WEEKDAY(TODAY())))</formula>
    </cfRule>
    <cfRule type="timePeriod" dxfId="26" priority="246" timePeriod="nextWeek">
      <formula>AND(ROUNDDOWN(I35,0)-TODAY()&gt;(7-WEEKDAY(TODAY())),ROUNDDOWN(I35,0)-TODAY()&lt;(15-WEEKDAY(TODAY())))</formula>
    </cfRule>
  </conditionalFormatting>
  <conditionalFormatting sqref="I35:J35">
    <cfRule type="timePeriod" dxfId="25" priority="243" timePeriod="nextWeek">
      <formula>AND(ROUNDDOWN(I35,0)-TODAY()&gt;(7-WEEKDAY(TODAY())),ROUNDDOWN(I35,0)-TODAY()&lt;(15-WEEKDAY(TODAY())))</formula>
    </cfRule>
    <cfRule type="timePeriod" dxfId="24" priority="244" timePeriod="nextWeek">
      <formula>AND(ROUNDDOWN(I35,0)-TODAY()&gt;(7-WEEKDAY(TODAY())),ROUNDDOWN(I35,0)-TODAY()&lt;(15-WEEKDAY(TODAY())))</formula>
    </cfRule>
  </conditionalFormatting>
  <conditionalFormatting sqref="I36:J36">
    <cfRule type="timePeriod" dxfId="23" priority="241" timePeriod="nextWeek">
      <formula>AND(ROUNDDOWN(I36,0)-TODAY()&gt;(7-WEEKDAY(TODAY())),ROUNDDOWN(I36,0)-TODAY()&lt;(15-WEEKDAY(TODAY())))</formula>
    </cfRule>
    <cfRule type="timePeriod" dxfId="22" priority="242" timePeriod="nextWeek">
      <formula>AND(ROUNDDOWN(I36,0)-TODAY()&gt;(7-WEEKDAY(TODAY())),ROUNDDOWN(I36,0)-TODAY()&lt;(15-WEEKDAY(TODAY())))</formula>
    </cfRule>
  </conditionalFormatting>
  <conditionalFormatting sqref="I36:J36">
    <cfRule type="timePeriod" dxfId="21" priority="239" timePeriod="nextWeek">
      <formula>AND(ROUNDDOWN(I36,0)-TODAY()&gt;(7-WEEKDAY(TODAY())),ROUNDDOWN(I36,0)-TODAY()&lt;(15-WEEKDAY(TODAY())))</formula>
    </cfRule>
    <cfRule type="timePeriod" dxfId="20" priority="240" timePeriod="nextWeek">
      <formula>AND(ROUNDDOWN(I36,0)-TODAY()&gt;(7-WEEKDAY(TODAY())),ROUNDDOWN(I36,0)-TODAY()&lt;(15-WEEKDAY(TODAY())))</formula>
    </cfRule>
  </conditionalFormatting>
  <conditionalFormatting sqref="I37:J37">
    <cfRule type="timePeriod" dxfId="19" priority="237" timePeriod="nextWeek">
      <formula>AND(ROUNDDOWN(I37,0)-TODAY()&gt;(7-WEEKDAY(TODAY())),ROUNDDOWN(I37,0)-TODAY()&lt;(15-WEEKDAY(TODAY())))</formula>
    </cfRule>
    <cfRule type="timePeriod" dxfId="18" priority="238" timePeriod="nextWeek">
      <formula>AND(ROUNDDOWN(I37,0)-TODAY()&gt;(7-WEEKDAY(TODAY())),ROUNDDOWN(I37,0)-TODAY()&lt;(15-WEEKDAY(TODAY())))</formula>
    </cfRule>
  </conditionalFormatting>
  <conditionalFormatting sqref="I37:J37">
    <cfRule type="timePeriod" dxfId="17" priority="235" timePeriod="nextWeek">
      <formula>AND(ROUNDDOWN(I37,0)-TODAY()&gt;(7-WEEKDAY(TODAY())),ROUNDDOWN(I37,0)-TODAY()&lt;(15-WEEKDAY(TODAY())))</formula>
    </cfRule>
    <cfRule type="timePeriod" dxfId="16" priority="236" timePeriod="nextWeek">
      <formula>AND(ROUNDDOWN(I37,0)-TODAY()&gt;(7-WEEKDAY(TODAY())),ROUNDDOWN(I37,0)-TODAY()&lt;(15-WEEKDAY(TODAY())))</formula>
    </cfRule>
  </conditionalFormatting>
  <conditionalFormatting sqref="I39">
    <cfRule type="timePeriod" dxfId="15" priority="233" timePeriod="nextWeek">
      <formula>AND(ROUNDDOWN(I39,0)-TODAY()&gt;(7-WEEKDAY(TODAY())),ROUNDDOWN(I39,0)-TODAY()&lt;(15-WEEKDAY(TODAY())))</formula>
    </cfRule>
    <cfRule type="timePeriod" dxfId="14" priority="234" timePeriod="nextWeek">
      <formula>AND(ROUNDDOWN(I39,0)-TODAY()&gt;(7-WEEKDAY(TODAY())),ROUNDDOWN(I39,0)-TODAY()&lt;(15-WEEKDAY(TODAY())))</formula>
    </cfRule>
  </conditionalFormatting>
  <conditionalFormatting sqref="J39">
    <cfRule type="timePeriod" dxfId="13" priority="231" timePeriod="nextWeek">
      <formula>AND(ROUNDDOWN(J39,0)-TODAY()&gt;(7-WEEKDAY(TODAY())),ROUNDDOWN(J39,0)-TODAY()&lt;(15-WEEKDAY(TODAY())))</formula>
    </cfRule>
    <cfRule type="timePeriod" dxfId="12" priority="232" timePeriod="nextWeek">
      <formula>AND(ROUNDDOWN(J39,0)-TODAY()&gt;(7-WEEKDAY(TODAY())),ROUNDDOWN(J39,0)-TODAY()&lt;(15-WEEKDAY(TODAY())))</formula>
    </cfRule>
  </conditionalFormatting>
  <conditionalFormatting sqref="J39">
    <cfRule type="timePeriod" dxfId="11" priority="229" timePeriod="nextWeek">
      <formula>AND(ROUNDDOWN(J39,0)-TODAY()&gt;(7-WEEKDAY(TODAY())),ROUNDDOWN(J39,0)-TODAY()&lt;(15-WEEKDAY(TODAY())))</formula>
    </cfRule>
    <cfRule type="timePeriod" dxfId="10" priority="230" timePeriod="nextWeek">
      <formula>AND(ROUNDDOWN(J39,0)-TODAY()&gt;(7-WEEKDAY(TODAY())),ROUNDDOWN(J39,0)-TODAY()&lt;(15-WEEKDAY(TODAY())))</formula>
    </cfRule>
  </conditionalFormatting>
  <conditionalFormatting sqref="I40">
    <cfRule type="timePeriod" dxfId="9" priority="227" timePeriod="nextWeek">
      <formula>AND(ROUNDDOWN(I40,0)-TODAY()&gt;(7-WEEKDAY(TODAY())),ROUNDDOWN(I40,0)-TODAY()&lt;(15-WEEKDAY(TODAY())))</formula>
    </cfRule>
    <cfRule type="timePeriod" dxfId="8" priority="228" timePeriod="nextWeek">
      <formula>AND(ROUNDDOWN(I40,0)-TODAY()&gt;(7-WEEKDAY(TODAY())),ROUNDDOWN(I40,0)-TODAY()&lt;(15-WEEKDAY(TODAY())))</formula>
    </cfRule>
  </conditionalFormatting>
  <conditionalFormatting sqref="J40">
    <cfRule type="timePeriod" dxfId="7" priority="225" timePeriod="nextWeek">
      <formula>AND(ROUNDDOWN(J40,0)-TODAY()&gt;(7-WEEKDAY(TODAY())),ROUNDDOWN(J40,0)-TODAY()&lt;(15-WEEKDAY(TODAY())))</formula>
    </cfRule>
    <cfRule type="timePeriod" dxfId="6" priority="226" timePeriod="nextWeek">
      <formula>AND(ROUNDDOWN(J40,0)-TODAY()&gt;(7-WEEKDAY(TODAY())),ROUNDDOWN(J40,0)-TODAY()&lt;(15-WEEKDAY(TODAY())))</formula>
    </cfRule>
  </conditionalFormatting>
  <conditionalFormatting sqref="J40">
    <cfRule type="timePeriod" dxfId="5" priority="223" timePeriod="nextWeek">
      <formula>AND(ROUNDDOWN(J40,0)-TODAY()&gt;(7-WEEKDAY(TODAY())),ROUNDDOWN(J40,0)-TODAY()&lt;(15-WEEKDAY(TODAY())))</formula>
    </cfRule>
    <cfRule type="timePeriod" dxfId="4" priority="224" timePeriod="nextWeek">
      <formula>AND(ROUNDDOWN(J40,0)-TODAY()&gt;(7-WEEKDAY(TODAY())),ROUNDDOWN(J40,0)-TODAY()&lt;(15-WEEKDAY(TODAY())))</formula>
    </cfRule>
  </conditionalFormatting>
  <conditionalFormatting sqref="J41">
    <cfRule type="timePeriod" dxfId="3" priority="221" timePeriod="nextWeek">
      <formula>AND(ROUNDDOWN(J41,0)-TODAY()&gt;(7-WEEKDAY(TODAY())),ROUNDDOWN(J41,0)-TODAY()&lt;(15-WEEKDAY(TODAY())))</formula>
    </cfRule>
    <cfRule type="timePeriod" dxfId="2" priority="222" timePeriod="nextWeek">
      <formula>AND(ROUNDDOWN(J41,0)-TODAY()&gt;(7-WEEKDAY(TODAY())),ROUNDDOWN(J41,0)-TODAY()&lt;(15-WEEKDAY(TODAY())))</formula>
    </cfRule>
  </conditionalFormatting>
  <conditionalFormatting sqref="J41">
    <cfRule type="timePeriod" dxfId="1" priority="219" timePeriod="nextWeek">
      <formula>AND(ROUNDDOWN(J41,0)-TODAY()&gt;(7-WEEKDAY(TODAY())),ROUNDDOWN(J41,0)-TODAY()&lt;(15-WEEKDAY(TODAY())))</formula>
    </cfRule>
    <cfRule type="timePeriod" dxfId="0" priority="220" timePeriod="nextWeek">
      <formula>AND(ROUNDDOWN(J41,0)-TODAY()&gt;(7-WEEKDAY(TODAY())),ROUNDDOWN(J41,0)-TODAY()&lt;(15-WEEKDAY(TODAY())))</formula>
    </cfRule>
  </conditionalFormatting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C30"/>
  <sheetViews>
    <sheetView workbookViewId="0">
      <selection activeCell="B21" sqref="B21"/>
    </sheetView>
  </sheetViews>
  <sheetFormatPr defaultRowHeight="15" x14ac:dyDescent="0.25"/>
  <sheetData>
    <row r="1" spans="1:2" x14ac:dyDescent="0.25">
      <c r="A1">
        <f>41*0.721*200</f>
        <v>5912.2</v>
      </c>
      <c r="B1">
        <f>29*200</f>
        <v>5800</v>
      </c>
    </row>
    <row r="2" spans="1:2" x14ac:dyDescent="0.25">
      <c r="A2">
        <f>8*0.721*1000</f>
        <v>5768</v>
      </c>
      <c r="B2">
        <f>6*100</f>
        <v>600</v>
      </c>
    </row>
    <row r="3" spans="1:2" x14ac:dyDescent="0.25">
      <c r="A3">
        <f>17*0.721*100</f>
        <v>1225.7</v>
      </c>
      <c r="B3">
        <f>12*100</f>
        <v>1200</v>
      </c>
    </row>
    <row r="4" spans="1:2" x14ac:dyDescent="0.25">
      <c r="A4">
        <f>17*0.721*200</f>
        <v>2451.4</v>
      </c>
      <c r="B4">
        <f>12*200</f>
        <v>2400</v>
      </c>
    </row>
    <row r="5" spans="1:2" x14ac:dyDescent="0.25">
      <c r="A5">
        <f>8*0.721*400</f>
        <v>2307.1999999999998</v>
      </c>
      <c r="B5">
        <f>6*400</f>
        <v>2400</v>
      </c>
    </row>
    <row r="6" spans="1:2" x14ac:dyDescent="0.25">
      <c r="A6">
        <f>4*0.721*600</f>
        <v>1730.3999999999999</v>
      </c>
      <c r="B6">
        <f>3*600</f>
        <v>1800</v>
      </c>
    </row>
    <row r="7" spans="1:2" x14ac:dyDescent="0.25">
      <c r="A7">
        <f>17*0.721*700</f>
        <v>8579.9</v>
      </c>
      <c r="B7">
        <f>12*700</f>
        <v>8400</v>
      </c>
    </row>
    <row r="8" spans="1:2" x14ac:dyDescent="0.25">
      <c r="A8">
        <f>8*0.721*5000</f>
        <v>28840</v>
      </c>
      <c r="B8">
        <f>6*5000</f>
        <v>30000</v>
      </c>
    </row>
    <row r="9" spans="1:2" x14ac:dyDescent="0.25">
      <c r="A9">
        <f>40*0.721*350</f>
        <v>10094</v>
      </c>
      <c r="B9">
        <f>29*350</f>
        <v>10150</v>
      </c>
    </row>
    <row r="10" spans="1:2" x14ac:dyDescent="0.25">
      <c r="A10">
        <f>25*0.721*1000</f>
        <v>18025</v>
      </c>
      <c r="B10">
        <f>18*1000</f>
        <v>18000</v>
      </c>
    </row>
    <row r="11" spans="1:2" x14ac:dyDescent="0.25">
      <c r="A11">
        <f>8*0.721*2000</f>
        <v>11536</v>
      </c>
      <c r="B11">
        <f>6*2000</f>
        <v>12000</v>
      </c>
    </row>
    <row r="12" spans="1:2" x14ac:dyDescent="0.25">
      <c r="A12">
        <f>8*0.721*6000</f>
        <v>34608</v>
      </c>
      <c r="B12">
        <f>6*6000</f>
        <v>36000</v>
      </c>
    </row>
    <row r="13" spans="1:2" x14ac:dyDescent="0.25">
      <c r="A13">
        <f>25*0.721*500</f>
        <v>9012.5</v>
      </c>
      <c r="B13">
        <f>18*500</f>
        <v>9000</v>
      </c>
    </row>
    <row r="14" spans="1:2" x14ac:dyDescent="0.25">
      <c r="A14">
        <f>17*0.721*1200</f>
        <v>14708.4</v>
      </c>
      <c r="B14">
        <f>12*1200</f>
        <v>14400</v>
      </c>
    </row>
    <row r="15" spans="1:2" x14ac:dyDescent="0.25">
      <c r="A15">
        <f>12*0.721*2500</f>
        <v>21629.999999999996</v>
      </c>
      <c r="B15">
        <f>7*2500</f>
        <v>17500</v>
      </c>
    </row>
    <row r="16" spans="1:2" x14ac:dyDescent="0.25">
      <c r="A16">
        <f>8*0.721*1000</f>
        <v>5768</v>
      </c>
      <c r="B16">
        <f>6*1000</f>
        <v>6000</v>
      </c>
    </row>
    <row r="17" spans="1:3" x14ac:dyDescent="0.25">
      <c r="A17">
        <f>17*0.721*2500</f>
        <v>30642.5</v>
      </c>
      <c r="B17">
        <f>12*2500</f>
        <v>30000</v>
      </c>
    </row>
    <row r="18" spans="1:3" x14ac:dyDescent="0.25">
      <c r="A18">
        <f>8*0.721*3000</f>
        <v>17304</v>
      </c>
      <c r="B18">
        <f>6*3000</f>
        <v>18000</v>
      </c>
    </row>
    <row r="19" spans="1:3" x14ac:dyDescent="0.25">
      <c r="A19">
        <f>10000</f>
        <v>10000</v>
      </c>
      <c r="B19">
        <f>2*5000</f>
        <v>10000</v>
      </c>
    </row>
    <row r="20" spans="1:3" x14ac:dyDescent="0.25">
      <c r="B20">
        <f>2695*50</f>
        <v>134750</v>
      </c>
    </row>
    <row r="21" spans="1:3" x14ac:dyDescent="0.25">
      <c r="A21">
        <f>85*0.721*100</f>
        <v>6128.5</v>
      </c>
      <c r="B21">
        <f>61*100</f>
        <v>6100</v>
      </c>
    </row>
    <row r="22" spans="1:3" x14ac:dyDescent="0.25">
      <c r="A22">
        <f>9*0.721*400</f>
        <v>2595.6</v>
      </c>
      <c r="B22">
        <f>6*400</f>
        <v>2400</v>
      </c>
    </row>
    <row r="23" spans="1:3" x14ac:dyDescent="0.25">
      <c r="A23">
        <f>25*0.721*400</f>
        <v>7209.9999999999991</v>
      </c>
      <c r="B23">
        <f>18*400</f>
        <v>7200</v>
      </c>
    </row>
    <row r="24" spans="1:3" x14ac:dyDescent="0.25">
      <c r="A24">
        <f>55*0.721*400</f>
        <v>15862</v>
      </c>
      <c r="B24">
        <f>40*400</f>
        <v>16000</v>
      </c>
    </row>
    <row r="25" spans="1:3" x14ac:dyDescent="0.25">
      <c r="A25">
        <f>9*0.721*200</f>
        <v>1297.8</v>
      </c>
      <c r="B25">
        <f>6*200</f>
        <v>1200</v>
      </c>
    </row>
    <row r="26" spans="1:3" x14ac:dyDescent="0.25">
      <c r="A26">
        <f>80*0.721*250</f>
        <v>14420</v>
      </c>
      <c r="B26">
        <f>58*250</f>
        <v>14500</v>
      </c>
    </row>
    <row r="27" spans="1:3" x14ac:dyDescent="0.25">
      <c r="A27">
        <f>4*0.721*100</f>
        <v>288.39999999999998</v>
      </c>
      <c r="B27">
        <f>3*1000</f>
        <v>3000</v>
      </c>
    </row>
    <row r="28" spans="1:3" x14ac:dyDescent="0.25">
      <c r="A28">
        <f>5*0.721*100</f>
        <v>360.5</v>
      </c>
      <c r="B28">
        <f>4*100</f>
        <v>400</v>
      </c>
    </row>
    <row r="29" spans="1:3" x14ac:dyDescent="0.25">
      <c r="A29">
        <f>20*0.721*500</f>
        <v>7210</v>
      </c>
      <c r="B29">
        <f>14*500</f>
        <v>7000</v>
      </c>
    </row>
    <row r="30" spans="1:3" x14ac:dyDescent="0.25">
      <c r="B30">
        <f>SUM(B1:B29)</f>
        <v>426200</v>
      </c>
      <c r="C30">
        <f>426200-B30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2022-11-08T14:02:10Z</dcterms:modified>
</cp:coreProperties>
</file>